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 Paxson\Documents\zzzzzzzzzzReal Options 2017\"/>
    </mc:Choice>
  </mc:AlternateContent>
  <bookViews>
    <workbookView xWindow="0" yWindow="80" windowWidth="15320" windowHeight="4430" firstSheet="3" activeTab="7"/>
  </bookViews>
  <sheets>
    <sheet name="GUIDE" sheetId="35" r:id="rId1"/>
    <sheet name="STATIC COLLAR" sheetId="24" r:id="rId2"/>
    <sheet name="CALL PUT" sheetId="25" r:id="rId3"/>
    <sheet name="F1 ACTIVE Collar" sheetId="42" r:id="rId4"/>
    <sheet name="F2 ACTIVE Floor" sheetId="41" r:id="rId5"/>
    <sheet name="F3 ACTIVE Ceiling" sheetId="40" r:id="rId6"/>
    <sheet name="F4 InvestmentCollar" sheetId="30" r:id="rId7"/>
    <sheet name="Fig A2" sheetId="28" r:id="rId8"/>
    <sheet name="Fig A3" sheetId="32" r:id="rId9"/>
    <sheet name="Fig A4" sheetId="33" r:id="rId10"/>
    <sheet name="Fig A5" sheetId="34" r:id="rId11"/>
  </sheets>
  <externalReferences>
    <externalReference r:id="rId12"/>
    <externalReference r:id="rId13"/>
  </externalReferences>
  <calcPr calcId="171027"/>
</workbook>
</file>

<file path=xl/calcChain.xml><?xml version="1.0" encoding="utf-8"?>
<calcChain xmlns="http://schemas.openxmlformats.org/spreadsheetml/2006/main">
  <c r="B35" i="40" l="1"/>
  <c r="B15" i="40"/>
  <c r="B14" i="40"/>
  <c r="B13" i="40"/>
  <c r="B36" i="41"/>
  <c r="B15" i="41"/>
  <c r="B14" i="41"/>
  <c r="B26" i="41" s="1"/>
  <c r="B13" i="41"/>
  <c r="B12" i="41"/>
  <c r="B38" i="42"/>
  <c r="B25" i="42"/>
  <c r="B15" i="42"/>
  <c r="B14" i="42"/>
  <c r="B13" i="42"/>
  <c r="B12" i="42"/>
  <c r="B24" i="40" l="1"/>
  <c r="B19" i="40" s="1"/>
  <c r="B22" i="40"/>
  <c r="B17" i="40" s="1"/>
  <c r="B11" i="40" s="1"/>
  <c r="B27" i="40"/>
  <c r="B25" i="40"/>
  <c r="B36" i="40"/>
  <c r="B26" i="40"/>
  <c r="B25" i="41"/>
  <c r="B21" i="41" s="1"/>
  <c r="B27" i="41"/>
  <c r="B23" i="41" s="1"/>
  <c r="B26" i="42"/>
  <c r="B27" i="42"/>
  <c r="B22" i="42" s="1"/>
  <c r="B24" i="42"/>
  <c r="B19" i="42" s="1"/>
  <c r="B30" i="40" l="1"/>
  <c r="B31" i="40"/>
  <c r="B29" i="40" s="1"/>
  <c r="B33" i="40"/>
  <c r="B37" i="40"/>
  <c r="B18" i="41"/>
  <c r="B11" i="41" s="1"/>
  <c r="B37" i="41"/>
  <c r="B31" i="41"/>
  <c r="B30" i="41"/>
  <c r="B34" i="41"/>
  <c r="B16" i="41"/>
  <c r="B33" i="41"/>
  <c r="B17" i="42"/>
  <c r="B39" i="42"/>
  <c r="B41" i="42"/>
  <c r="B21" i="42"/>
  <c r="B23" i="42"/>
  <c r="B29" i="41" l="1"/>
  <c r="B18" i="42"/>
  <c r="B40" i="42"/>
  <c r="B16" i="42"/>
  <c r="B35" i="42"/>
  <c r="B30" i="42"/>
  <c r="B36" i="42"/>
  <c r="B31" i="42"/>
  <c r="B11" i="42"/>
  <c r="B20" i="42"/>
  <c r="B29" i="42" l="1"/>
  <c r="L32" i="34" l="1"/>
  <c r="K32" i="34"/>
  <c r="J32" i="34"/>
  <c r="I32" i="34"/>
  <c r="H32" i="34"/>
  <c r="G32" i="34"/>
  <c r="F32" i="34"/>
  <c r="E32" i="34"/>
  <c r="D32" i="34"/>
  <c r="C32" i="34"/>
  <c r="B32" i="34"/>
  <c r="A31" i="34"/>
  <c r="A30" i="34"/>
  <c r="C29" i="34"/>
  <c r="B29" i="34"/>
  <c r="B26" i="34"/>
  <c r="C18" i="34"/>
  <c r="B18" i="34"/>
  <c r="C17" i="34"/>
  <c r="B17" i="34"/>
  <c r="B15" i="34" s="1"/>
  <c r="B16" i="34"/>
  <c r="C11" i="34"/>
  <c r="C28" i="34" s="1"/>
  <c r="B11" i="34"/>
  <c r="B28" i="34" s="1"/>
  <c r="B9" i="34"/>
  <c r="E4" i="34"/>
  <c r="E11" i="34" s="1"/>
  <c r="D4" i="34"/>
  <c r="D11" i="34" s="1"/>
  <c r="C2" i="34"/>
  <c r="C9" i="34" s="1"/>
  <c r="A31" i="33"/>
  <c r="A30" i="33"/>
  <c r="B29" i="33"/>
  <c r="A29" i="33"/>
  <c r="I27" i="33"/>
  <c r="V18" i="33"/>
  <c r="V17" i="33" s="1"/>
  <c r="U18" i="33"/>
  <c r="T18" i="33"/>
  <c r="S18" i="33"/>
  <c r="S26" i="33" s="1"/>
  <c r="R18" i="33"/>
  <c r="R26" i="33" s="1"/>
  <c r="Q18" i="33"/>
  <c r="P18" i="33"/>
  <c r="O18" i="33"/>
  <c r="O26" i="33" s="1"/>
  <c r="N18" i="33"/>
  <c r="N17" i="33" s="1"/>
  <c r="M18" i="33"/>
  <c r="L18" i="33"/>
  <c r="K18" i="33"/>
  <c r="K26" i="33" s="1"/>
  <c r="J18" i="33"/>
  <c r="J26" i="33" s="1"/>
  <c r="I18" i="33"/>
  <c r="H18" i="33"/>
  <c r="G18" i="33"/>
  <c r="G26" i="33" s="1"/>
  <c r="F18" i="33"/>
  <c r="F17" i="33" s="1"/>
  <c r="E18" i="33"/>
  <c r="D18" i="33"/>
  <c r="C18" i="33"/>
  <c r="C26" i="33" s="1"/>
  <c r="B18" i="33"/>
  <c r="B26" i="33" s="1"/>
  <c r="T17" i="33"/>
  <c r="S17" i="33"/>
  <c r="R17" i="33"/>
  <c r="P17" i="33"/>
  <c r="O17" i="33"/>
  <c r="L17" i="33"/>
  <c r="K17" i="33"/>
  <c r="H17" i="33"/>
  <c r="G17" i="33"/>
  <c r="D17" i="33"/>
  <c r="C17" i="33"/>
  <c r="B17" i="33"/>
  <c r="B15" i="33" s="1"/>
  <c r="B16" i="33"/>
  <c r="O12" i="33"/>
  <c r="V11" i="33"/>
  <c r="V27" i="33" s="1"/>
  <c r="U11" i="33"/>
  <c r="U28" i="33" s="1"/>
  <c r="T11" i="33"/>
  <c r="S11" i="33"/>
  <c r="R11" i="33"/>
  <c r="R27" i="33" s="1"/>
  <c r="Q11" i="33"/>
  <c r="Q28" i="33" s="1"/>
  <c r="P11" i="33"/>
  <c r="O11" i="33"/>
  <c r="N11" i="33"/>
  <c r="N27" i="33" s="1"/>
  <c r="M11" i="33"/>
  <c r="M28" i="33" s="1"/>
  <c r="L11" i="33"/>
  <c r="K11" i="33"/>
  <c r="J11" i="33"/>
  <c r="J27" i="33" s="1"/>
  <c r="I11" i="33"/>
  <c r="I28" i="33" s="1"/>
  <c r="H11" i="33"/>
  <c r="G11" i="33"/>
  <c r="F11" i="33"/>
  <c r="F27" i="33" s="1"/>
  <c r="E11" i="33"/>
  <c r="E28" i="33" s="1"/>
  <c r="D11" i="33"/>
  <c r="C11" i="33"/>
  <c r="B11" i="33"/>
  <c r="B27" i="33" s="1"/>
  <c r="U10" i="33"/>
  <c r="U12" i="33" s="1"/>
  <c r="S10" i="33"/>
  <c r="S12" i="33" s="1"/>
  <c r="R10" i="33"/>
  <c r="R12" i="33" s="1"/>
  <c r="Q10" i="33"/>
  <c r="Q12" i="33" s="1"/>
  <c r="O10" i="33"/>
  <c r="M10" i="33"/>
  <c r="M12" i="33" s="1"/>
  <c r="K10" i="33"/>
  <c r="K12" i="33" s="1"/>
  <c r="I10" i="33"/>
  <c r="I12" i="33" s="1"/>
  <c r="G10" i="33"/>
  <c r="G12" i="33" s="1"/>
  <c r="E10" i="33"/>
  <c r="E12" i="33" s="1"/>
  <c r="C10" i="33"/>
  <c r="C12" i="33" s="1"/>
  <c r="B10" i="33"/>
  <c r="B12" i="33" s="1"/>
  <c r="B9" i="33"/>
  <c r="C2" i="33"/>
  <c r="C29" i="33" s="1"/>
  <c r="A34" i="32"/>
  <c r="A33" i="32"/>
  <c r="B32" i="32"/>
  <c r="A32" i="32"/>
  <c r="N18" i="32"/>
  <c r="N26" i="32" s="1"/>
  <c r="M18" i="32"/>
  <c r="M26" i="32" s="1"/>
  <c r="L18" i="32"/>
  <c r="L26" i="32" s="1"/>
  <c r="K18" i="32"/>
  <c r="K26" i="32" s="1"/>
  <c r="J18" i="32"/>
  <c r="J26" i="32" s="1"/>
  <c r="I18" i="32"/>
  <c r="I26" i="32" s="1"/>
  <c r="H18" i="32"/>
  <c r="H26" i="32" s="1"/>
  <c r="G18" i="32"/>
  <c r="G26" i="32" s="1"/>
  <c r="F18" i="32"/>
  <c r="F26" i="32" s="1"/>
  <c r="E18" i="32"/>
  <c r="E26" i="32" s="1"/>
  <c r="D18" i="32"/>
  <c r="D26" i="32" s="1"/>
  <c r="C18" i="32"/>
  <c r="C26" i="32" s="1"/>
  <c r="B18" i="32"/>
  <c r="B26" i="32" s="1"/>
  <c r="L17" i="32"/>
  <c r="K17" i="32"/>
  <c r="J17" i="32"/>
  <c r="H17" i="32"/>
  <c r="G17" i="32"/>
  <c r="D17" i="32"/>
  <c r="C17" i="32"/>
  <c r="B16" i="32"/>
  <c r="K12" i="32"/>
  <c r="N11" i="32"/>
  <c r="N27" i="32" s="1"/>
  <c r="M11" i="32"/>
  <c r="M27" i="32" s="1"/>
  <c r="L11" i="32"/>
  <c r="L28" i="32" s="1"/>
  <c r="K11" i="32"/>
  <c r="K27" i="32" s="1"/>
  <c r="J11" i="32"/>
  <c r="J27" i="32" s="1"/>
  <c r="I11" i="32"/>
  <c r="I27" i="32" s="1"/>
  <c r="H11" i="32"/>
  <c r="H28" i="32" s="1"/>
  <c r="G11" i="32"/>
  <c r="F11" i="32"/>
  <c r="F27" i="32" s="1"/>
  <c r="E11" i="32"/>
  <c r="E27" i="32" s="1"/>
  <c r="D11" i="32"/>
  <c r="D28" i="32" s="1"/>
  <c r="C11" i="32"/>
  <c r="B11" i="32"/>
  <c r="B10" i="32" s="1"/>
  <c r="B12" i="32" s="1"/>
  <c r="N10" i="32"/>
  <c r="N12" i="32" s="1"/>
  <c r="K10" i="32"/>
  <c r="J10" i="32"/>
  <c r="J12" i="32" s="1"/>
  <c r="I10" i="32"/>
  <c r="I12" i="32" s="1"/>
  <c r="G10" i="32"/>
  <c r="G12" i="32" s="1"/>
  <c r="C10" i="32"/>
  <c r="C12" i="32" s="1"/>
  <c r="B9" i="32"/>
  <c r="C8" i="32"/>
  <c r="C33" i="32" s="1"/>
  <c r="D2" i="32"/>
  <c r="C2" i="32"/>
  <c r="C32" i="32" s="1"/>
  <c r="B30" i="28"/>
  <c r="A30" i="28"/>
  <c r="H24" i="28"/>
  <c r="N18" i="28"/>
  <c r="N24" i="28" s="1"/>
  <c r="M18" i="28"/>
  <c r="M17" i="28" s="1"/>
  <c r="L18" i="28"/>
  <c r="L24" i="28" s="1"/>
  <c r="K18" i="28"/>
  <c r="K24" i="28" s="1"/>
  <c r="J18" i="28"/>
  <c r="J24" i="28" s="1"/>
  <c r="I18" i="28"/>
  <c r="I17" i="28" s="1"/>
  <c r="H18" i="28"/>
  <c r="G18" i="28"/>
  <c r="G24" i="28" s="1"/>
  <c r="F18" i="28"/>
  <c r="F24" i="28" s="1"/>
  <c r="E18" i="28"/>
  <c r="E17" i="28" s="1"/>
  <c r="D18" i="28"/>
  <c r="D24" i="28" s="1"/>
  <c r="C18" i="28"/>
  <c r="C24" i="28" s="1"/>
  <c r="B18" i="28"/>
  <c r="B24" i="28" s="1"/>
  <c r="L17" i="28"/>
  <c r="H17" i="28"/>
  <c r="D17" i="28"/>
  <c r="C16" i="28"/>
  <c r="B16" i="28"/>
  <c r="N11" i="28"/>
  <c r="N25" i="28" s="1"/>
  <c r="M11" i="28"/>
  <c r="M25" i="28" s="1"/>
  <c r="L11" i="28"/>
  <c r="L26" i="28" s="1"/>
  <c r="K11" i="28"/>
  <c r="K25" i="28" s="1"/>
  <c r="J11" i="28"/>
  <c r="J25" i="28" s="1"/>
  <c r="I11" i="28"/>
  <c r="I25" i="28" s="1"/>
  <c r="H11" i="28"/>
  <c r="H26" i="28" s="1"/>
  <c r="G11" i="28"/>
  <c r="G25" i="28" s="1"/>
  <c r="F11" i="28"/>
  <c r="F25" i="28" s="1"/>
  <c r="E11" i="28"/>
  <c r="E25" i="28" s="1"/>
  <c r="D11" i="28"/>
  <c r="D26" i="28" s="1"/>
  <c r="C11" i="28"/>
  <c r="C25" i="28" s="1"/>
  <c r="B11" i="28"/>
  <c r="B25" i="28" s="1"/>
  <c r="M10" i="28"/>
  <c r="M12" i="28" s="1"/>
  <c r="K10" i="28"/>
  <c r="K12" i="28" s="1"/>
  <c r="G10" i="28"/>
  <c r="G12" i="28" s="1"/>
  <c r="E10" i="28"/>
  <c r="E12" i="28" s="1"/>
  <c r="C10" i="28"/>
  <c r="C12" i="28" s="1"/>
  <c r="B9" i="28"/>
  <c r="C8" i="28"/>
  <c r="D2" i="28"/>
  <c r="C2" i="28"/>
  <c r="C30" i="28" s="1"/>
  <c r="N26" i="33" l="1"/>
  <c r="B17" i="28"/>
  <c r="B15" i="28" s="1"/>
  <c r="J17" i="28"/>
  <c r="E10" i="32"/>
  <c r="E12" i="32" s="1"/>
  <c r="F17" i="32"/>
  <c r="D2" i="33"/>
  <c r="D16" i="33" s="1"/>
  <c r="N10" i="33"/>
  <c r="N12" i="33" s="1"/>
  <c r="M27" i="33"/>
  <c r="M24" i="33" s="1"/>
  <c r="M19" i="33" s="1"/>
  <c r="C10" i="34"/>
  <c r="I10" i="28"/>
  <c r="I12" i="28" s="1"/>
  <c r="C9" i="32"/>
  <c r="F10" i="32"/>
  <c r="F12" i="32" s="1"/>
  <c r="C16" i="32"/>
  <c r="C8" i="33"/>
  <c r="C30" i="33" s="1"/>
  <c r="J10" i="33"/>
  <c r="J12" i="33" s="1"/>
  <c r="J17" i="33"/>
  <c r="F26" i="33"/>
  <c r="V26" i="33"/>
  <c r="Q27" i="33"/>
  <c r="F17" i="28"/>
  <c r="N17" i="28"/>
  <c r="D15" i="32"/>
  <c r="M10" i="32"/>
  <c r="M12" i="32" s="1"/>
  <c r="N17" i="32"/>
  <c r="F10" i="33"/>
  <c r="F12" i="33" s="1"/>
  <c r="V10" i="33"/>
  <c r="V12" i="33" s="1"/>
  <c r="C16" i="33"/>
  <c r="E27" i="33"/>
  <c r="E25" i="33" s="1"/>
  <c r="U27" i="33"/>
  <c r="D18" i="34"/>
  <c r="D26" i="34" s="1"/>
  <c r="E27" i="34"/>
  <c r="E10" i="34"/>
  <c r="D10" i="34"/>
  <c r="D28" i="34"/>
  <c r="D22" i="34" s="1"/>
  <c r="D27" i="34"/>
  <c r="D2" i="34"/>
  <c r="B10" i="34"/>
  <c r="C15" i="34"/>
  <c r="C26" i="34"/>
  <c r="C23" i="34" s="1"/>
  <c r="F4" i="34"/>
  <c r="C8" i="34"/>
  <c r="C30" i="34" s="1"/>
  <c r="C16" i="34"/>
  <c r="D17" i="34"/>
  <c r="E18" i="34"/>
  <c r="E28" i="34" s="1"/>
  <c r="B22" i="34"/>
  <c r="C27" i="34"/>
  <c r="C25" i="34" s="1"/>
  <c r="E29" i="34"/>
  <c r="B23" i="34"/>
  <c r="B21" i="34" s="1"/>
  <c r="D25" i="34"/>
  <c r="B27" i="34"/>
  <c r="B24" i="34" s="1"/>
  <c r="B19" i="34" s="1"/>
  <c r="D29" i="34"/>
  <c r="E24" i="33"/>
  <c r="I24" i="33"/>
  <c r="Q24" i="33"/>
  <c r="U24" i="33"/>
  <c r="L28" i="33"/>
  <c r="T28" i="33"/>
  <c r="B8" i="33"/>
  <c r="B30" i="33" s="1"/>
  <c r="D10" i="33"/>
  <c r="D12" i="33" s="1"/>
  <c r="H10" i="33"/>
  <c r="H12" i="33" s="1"/>
  <c r="L10" i="33"/>
  <c r="L12" i="33" s="1"/>
  <c r="P10" i="33"/>
  <c r="P12" i="33" s="1"/>
  <c r="T10" i="33"/>
  <c r="T12" i="33" s="1"/>
  <c r="C15" i="33"/>
  <c r="E17" i="33"/>
  <c r="I17" i="33"/>
  <c r="M17" i="33"/>
  <c r="Q17" i="33"/>
  <c r="U17" i="33"/>
  <c r="M22" i="33"/>
  <c r="E26" i="33"/>
  <c r="E23" i="33" s="1"/>
  <c r="E21" i="33" s="1"/>
  <c r="I26" i="33"/>
  <c r="I23" i="33" s="1"/>
  <c r="I21" i="33" s="1"/>
  <c r="M26" i="33"/>
  <c r="M23" i="33" s="1"/>
  <c r="Q26" i="33"/>
  <c r="Q23" i="33" s="1"/>
  <c r="U26" i="33"/>
  <c r="U23" i="33" s="1"/>
  <c r="U21" i="33" s="1"/>
  <c r="D27" i="33"/>
  <c r="D25" i="33" s="1"/>
  <c r="H27" i="33"/>
  <c r="L27" i="33"/>
  <c r="P27" i="33"/>
  <c r="T27" i="33"/>
  <c r="T24" i="33" s="1"/>
  <c r="T19" i="33" s="1"/>
  <c r="C28" i="33"/>
  <c r="C22" i="33" s="1"/>
  <c r="C13" i="33" s="1"/>
  <c r="G28" i="33"/>
  <c r="G22" i="33" s="1"/>
  <c r="K28" i="33"/>
  <c r="K22" i="33" s="1"/>
  <c r="O28" i="33"/>
  <c r="O24" i="33" s="1"/>
  <c r="O19" i="33" s="1"/>
  <c r="S28" i="33"/>
  <c r="S22" i="33" s="1"/>
  <c r="D28" i="33"/>
  <c r="P28" i="33"/>
  <c r="D9" i="33"/>
  <c r="M21" i="33"/>
  <c r="Q21" i="33"/>
  <c r="D22" i="33"/>
  <c r="D13" i="33" s="1"/>
  <c r="C23" i="33"/>
  <c r="C21" i="33" s="1"/>
  <c r="C14" i="33" s="1"/>
  <c r="C31" i="33" s="1"/>
  <c r="G23" i="33"/>
  <c r="G21" i="33" s="1"/>
  <c r="O23" i="33"/>
  <c r="O21" i="33" s="1"/>
  <c r="S23" i="33"/>
  <c r="S21" i="33" s="1"/>
  <c r="I25" i="33"/>
  <c r="M25" i="33"/>
  <c r="Q25" i="33"/>
  <c r="U25" i="33"/>
  <c r="D26" i="33"/>
  <c r="H26" i="33"/>
  <c r="H23" i="33" s="1"/>
  <c r="H21" i="33" s="1"/>
  <c r="L26" i="33"/>
  <c r="L23" i="33" s="1"/>
  <c r="L21" i="33" s="1"/>
  <c r="P26" i="33"/>
  <c r="P23" i="33" s="1"/>
  <c r="P21" i="33" s="1"/>
  <c r="T26" i="33"/>
  <c r="T23" i="33" s="1"/>
  <c r="T21" i="33" s="1"/>
  <c r="C27" i="33"/>
  <c r="C25" i="33" s="1"/>
  <c r="G27" i="33"/>
  <c r="G25" i="33" s="1"/>
  <c r="K27" i="33"/>
  <c r="O27" i="33"/>
  <c r="S27" i="33"/>
  <c r="S25" i="33" s="1"/>
  <c r="B28" i="33"/>
  <c r="B22" i="33" s="1"/>
  <c r="B13" i="33" s="1"/>
  <c r="F28" i="33"/>
  <c r="F22" i="33" s="1"/>
  <c r="J28" i="33"/>
  <c r="J22" i="33" s="1"/>
  <c r="N28" i="33"/>
  <c r="N22" i="33" s="1"/>
  <c r="R28" i="33"/>
  <c r="R22" i="33" s="1"/>
  <c r="V28" i="33"/>
  <c r="V22" i="33" s="1"/>
  <c r="D29" i="33"/>
  <c r="D15" i="33"/>
  <c r="H28" i="33"/>
  <c r="E2" i="33"/>
  <c r="C9" i="33"/>
  <c r="E19" i="33"/>
  <c r="I19" i="33"/>
  <c r="Q19" i="33"/>
  <c r="U19" i="33"/>
  <c r="F23" i="33"/>
  <c r="F21" i="33" s="1"/>
  <c r="J23" i="33"/>
  <c r="J21" i="33" s="1"/>
  <c r="V23" i="33"/>
  <c r="V21" i="33" s="1"/>
  <c r="B8" i="32"/>
  <c r="B33" i="32" s="1"/>
  <c r="D10" i="32"/>
  <c r="D12" i="32" s="1"/>
  <c r="H10" i="32"/>
  <c r="H12" i="32" s="1"/>
  <c r="L10" i="32"/>
  <c r="L12" i="32" s="1"/>
  <c r="C15" i="32"/>
  <c r="E17" i="32"/>
  <c r="I17" i="32"/>
  <c r="M17" i="32"/>
  <c r="D27" i="32"/>
  <c r="H27" i="32"/>
  <c r="L27" i="32"/>
  <c r="C28" i="32"/>
  <c r="G28" i="32"/>
  <c r="K28" i="32"/>
  <c r="D9" i="32"/>
  <c r="C27" i="32"/>
  <c r="G27" i="32"/>
  <c r="B28" i="32"/>
  <c r="F28" i="32"/>
  <c r="J28" i="32"/>
  <c r="N28" i="32"/>
  <c r="E2" i="32"/>
  <c r="D8" i="32"/>
  <c r="D33" i="32" s="1"/>
  <c r="D16" i="32"/>
  <c r="B27" i="32"/>
  <c r="E28" i="32"/>
  <c r="I28" i="32"/>
  <c r="M28" i="32"/>
  <c r="D32" i="32"/>
  <c r="B17" i="32"/>
  <c r="B15" i="32" s="1"/>
  <c r="E2" i="28"/>
  <c r="C9" i="28"/>
  <c r="B10" i="28"/>
  <c r="F10" i="28"/>
  <c r="F12" i="28" s="1"/>
  <c r="J10" i="28"/>
  <c r="J12" i="28" s="1"/>
  <c r="N10" i="28"/>
  <c r="N12" i="28" s="1"/>
  <c r="D16" i="28"/>
  <c r="C17" i="28"/>
  <c r="G17" i="28"/>
  <c r="K17" i="28"/>
  <c r="E24" i="28"/>
  <c r="I24" i="28"/>
  <c r="M24" i="28"/>
  <c r="D25" i="28"/>
  <c r="H25" i="28"/>
  <c r="L25" i="28"/>
  <c r="C26" i="28"/>
  <c r="G26" i="28"/>
  <c r="K26" i="28"/>
  <c r="D15" i="28"/>
  <c r="B26" i="28"/>
  <c r="F26" i="28"/>
  <c r="J26" i="28"/>
  <c r="N26" i="28"/>
  <c r="D30" i="28"/>
  <c r="D10" i="28"/>
  <c r="D12" i="28" s="1"/>
  <c r="H10" i="28"/>
  <c r="H12" i="28" s="1"/>
  <c r="L10" i="28"/>
  <c r="L12" i="28" s="1"/>
  <c r="C15" i="28"/>
  <c r="E26" i="28"/>
  <c r="I26" i="28"/>
  <c r="M26" i="28"/>
  <c r="D9" i="28"/>
  <c r="C13" i="34" l="1"/>
  <c r="C21" i="34"/>
  <c r="C24" i="34"/>
  <c r="C19" i="34" s="1"/>
  <c r="D24" i="34"/>
  <c r="D19" i="34" s="1"/>
  <c r="C22" i="34"/>
  <c r="B25" i="34"/>
  <c r="D23" i="33"/>
  <c r="D21" i="33" s="1"/>
  <c r="D14" i="33" s="1"/>
  <c r="D31" i="33" s="1"/>
  <c r="J25" i="33"/>
  <c r="L25" i="33"/>
  <c r="D23" i="34"/>
  <c r="D21" i="34" s="1"/>
  <c r="T22" i="33"/>
  <c r="C33" i="34"/>
  <c r="C12" i="34"/>
  <c r="E26" i="34"/>
  <c r="E25" i="34"/>
  <c r="E24" i="34"/>
  <c r="E19" i="34" s="1"/>
  <c r="E17" i="34"/>
  <c r="F11" i="34"/>
  <c r="F29" i="34"/>
  <c r="F18" i="34"/>
  <c r="G4" i="34"/>
  <c r="C14" i="34"/>
  <c r="C31" i="34" s="1"/>
  <c r="D33" i="34"/>
  <c r="D12" i="34"/>
  <c r="D15" i="34"/>
  <c r="E2" i="34"/>
  <c r="D13" i="34"/>
  <c r="D9" i="34"/>
  <c r="D16" i="34"/>
  <c r="D8" i="34"/>
  <c r="D30" i="34" s="1"/>
  <c r="E33" i="34"/>
  <c r="E12" i="34"/>
  <c r="B13" i="34"/>
  <c r="B14" i="34"/>
  <c r="B31" i="34" s="1"/>
  <c r="B33" i="34"/>
  <c r="B8" i="34"/>
  <c r="B30" i="34" s="1"/>
  <c r="B12" i="34"/>
  <c r="R23" i="33"/>
  <c r="R21" i="33" s="1"/>
  <c r="B23" i="33"/>
  <c r="B21" i="33" s="1"/>
  <c r="B14" i="33" s="1"/>
  <c r="B31" i="33" s="1"/>
  <c r="D8" i="33"/>
  <c r="D30" i="33" s="1"/>
  <c r="K25" i="33"/>
  <c r="L22" i="33"/>
  <c r="H24" i="33"/>
  <c r="H19" i="33" s="1"/>
  <c r="R25" i="33"/>
  <c r="B25" i="33"/>
  <c r="G24" i="33"/>
  <c r="G19" i="33" s="1"/>
  <c r="Q22" i="33"/>
  <c r="O22" i="33"/>
  <c r="T25" i="33"/>
  <c r="V24" i="33"/>
  <c r="V19" i="33" s="1"/>
  <c r="B24" i="33"/>
  <c r="B19" i="33" s="1"/>
  <c r="E15" i="33"/>
  <c r="E16" i="33"/>
  <c r="E8" i="33"/>
  <c r="E30" i="33" s="1"/>
  <c r="F2" i="33"/>
  <c r="E29" i="33"/>
  <c r="E9" i="33"/>
  <c r="E14" i="33"/>
  <c r="E31" i="33" s="1"/>
  <c r="O25" i="33"/>
  <c r="K23" i="33"/>
  <c r="K21" i="33" s="1"/>
  <c r="P22" i="33"/>
  <c r="L24" i="33"/>
  <c r="L19" i="33" s="1"/>
  <c r="V25" i="33"/>
  <c r="F25" i="33"/>
  <c r="K24" i="33"/>
  <c r="K19" i="33" s="1"/>
  <c r="U22" i="33"/>
  <c r="E22" i="33"/>
  <c r="E13" i="33" s="1"/>
  <c r="H25" i="33"/>
  <c r="F24" i="33"/>
  <c r="F19" i="33" s="1"/>
  <c r="P24" i="33"/>
  <c r="P19" i="33" s="1"/>
  <c r="I22" i="33"/>
  <c r="N24" i="33"/>
  <c r="N19" i="33" s="1"/>
  <c r="J24" i="33"/>
  <c r="J19" i="33" s="1"/>
  <c r="N23" i="33"/>
  <c r="N21" i="33" s="1"/>
  <c r="H22" i="33"/>
  <c r="D24" i="33"/>
  <c r="D19" i="33" s="1"/>
  <c r="N25" i="33"/>
  <c r="S24" i="33"/>
  <c r="S19" i="33" s="1"/>
  <c r="C24" i="33"/>
  <c r="C19" i="33" s="1"/>
  <c r="P25" i="33"/>
  <c r="R24" i="33"/>
  <c r="R19" i="33" s="1"/>
  <c r="E15" i="32"/>
  <c r="E32" i="32"/>
  <c r="E16" i="32"/>
  <c r="E8" i="32"/>
  <c r="E33" i="32" s="1"/>
  <c r="F2" i="32"/>
  <c r="E9" i="32"/>
  <c r="B12" i="28"/>
  <c r="B8" i="28"/>
  <c r="D8" i="28"/>
  <c r="E16" i="28"/>
  <c r="E8" i="28"/>
  <c r="F2" i="28"/>
  <c r="E9" i="28"/>
  <c r="E30" i="28"/>
  <c r="E15" i="28"/>
  <c r="D14" i="34" l="1"/>
  <c r="D31" i="34" s="1"/>
  <c r="G29" i="34"/>
  <c r="G18" i="34"/>
  <c r="H4" i="34"/>
  <c r="G11" i="34"/>
  <c r="F28" i="34"/>
  <c r="F27" i="34"/>
  <c r="F10" i="34"/>
  <c r="E22" i="34"/>
  <c r="E23" i="34"/>
  <c r="E21" i="34" s="1"/>
  <c r="E16" i="34"/>
  <c r="E8" i="34"/>
  <c r="E30" i="34" s="1"/>
  <c r="E15" i="34"/>
  <c r="F2" i="34"/>
  <c r="E14" i="34"/>
  <c r="E31" i="34" s="1"/>
  <c r="E13" i="34"/>
  <c r="E9" i="34"/>
  <c r="F24" i="34"/>
  <c r="F19" i="34" s="1"/>
  <c r="F17" i="34"/>
  <c r="F26" i="34"/>
  <c r="F23" i="34" s="1"/>
  <c r="F21" i="34" s="1"/>
  <c r="F25" i="34"/>
  <c r="F14" i="33"/>
  <c r="F31" i="33" s="1"/>
  <c r="F15" i="33"/>
  <c r="F13" i="33"/>
  <c r="F16" i="33"/>
  <c r="F8" i="33"/>
  <c r="F30" i="33" s="1"/>
  <c r="G2" i="33"/>
  <c r="F29" i="33"/>
  <c r="F9" i="33"/>
  <c r="L24" i="32"/>
  <c r="L19" i="32" s="1"/>
  <c r="H24" i="32"/>
  <c r="H19" i="32" s="1"/>
  <c r="D24" i="32"/>
  <c r="D19" i="32" s="1"/>
  <c r="F9" i="32"/>
  <c r="M24" i="32"/>
  <c r="M19" i="32" s="1"/>
  <c r="I24" i="32"/>
  <c r="I19" i="32" s="1"/>
  <c r="E24" i="32"/>
  <c r="E19" i="32" s="1"/>
  <c r="N24" i="32"/>
  <c r="N19" i="32" s="1"/>
  <c r="J24" i="32"/>
  <c r="J19" i="32" s="1"/>
  <c r="F24" i="32"/>
  <c r="F19" i="32" s="1"/>
  <c r="B24" i="32"/>
  <c r="B19" i="32" s="1"/>
  <c r="F15" i="32"/>
  <c r="F32" i="32"/>
  <c r="K24" i="32"/>
  <c r="K19" i="32" s="1"/>
  <c r="G24" i="32"/>
  <c r="G19" i="32" s="1"/>
  <c r="C24" i="32"/>
  <c r="C19" i="32" s="1"/>
  <c r="F16" i="32"/>
  <c r="F8" i="32"/>
  <c r="F33" i="32" s="1"/>
  <c r="G2" i="32"/>
  <c r="E31" i="28"/>
  <c r="F30" i="28"/>
  <c r="L22" i="28"/>
  <c r="H22" i="28"/>
  <c r="D22" i="28"/>
  <c r="F15" i="28"/>
  <c r="F31" i="28"/>
  <c r="B31" i="28"/>
  <c r="M22" i="28"/>
  <c r="I22" i="28"/>
  <c r="E22" i="28"/>
  <c r="F16" i="28"/>
  <c r="F8" i="28"/>
  <c r="G2" i="28"/>
  <c r="C31" i="28"/>
  <c r="N22" i="28"/>
  <c r="J22" i="28"/>
  <c r="F22" i="28"/>
  <c r="B22" i="28"/>
  <c r="F9" i="28"/>
  <c r="D31" i="28"/>
  <c r="K22" i="28"/>
  <c r="G22" i="28"/>
  <c r="C22" i="28"/>
  <c r="F33" i="34" l="1"/>
  <c r="F12" i="34"/>
  <c r="G10" i="34"/>
  <c r="G28" i="34"/>
  <c r="G27" i="34"/>
  <c r="G25" i="34" s="1"/>
  <c r="F13" i="34"/>
  <c r="F9" i="34"/>
  <c r="F16" i="34"/>
  <c r="F15" i="34"/>
  <c r="G2" i="34"/>
  <c r="F14" i="34"/>
  <c r="F31" i="34" s="1"/>
  <c r="F8" i="34"/>
  <c r="F30" i="34" s="1"/>
  <c r="G24" i="34"/>
  <c r="G19" i="34" s="1"/>
  <c r="G17" i="34"/>
  <c r="G26" i="34"/>
  <c r="G22" i="34" s="1"/>
  <c r="F22" i="34"/>
  <c r="H11" i="34"/>
  <c r="H29" i="34"/>
  <c r="H18" i="34"/>
  <c r="I4" i="34"/>
  <c r="G29" i="33"/>
  <c r="G13" i="33"/>
  <c r="G9" i="33"/>
  <c r="G8" i="33"/>
  <c r="G30" i="33" s="1"/>
  <c r="G14" i="33"/>
  <c r="G31" i="33" s="1"/>
  <c r="H2" i="33"/>
  <c r="G15" i="33"/>
  <c r="G16" i="33"/>
  <c r="G32" i="32"/>
  <c r="G16" i="32"/>
  <c r="H2" i="32"/>
  <c r="G9" i="32"/>
  <c r="G8" i="32"/>
  <c r="G33" i="32" s="1"/>
  <c r="G15" i="32"/>
  <c r="G30" i="28"/>
  <c r="G15" i="28"/>
  <c r="H2" i="28"/>
  <c r="G31" i="28"/>
  <c r="G16" i="28"/>
  <c r="G8" i="28"/>
  <c r="G9" i="28"/>
  <c r="G23" i="34" l="1"/>
  <c r="G21" i="34" s="1"/>
  <c r="H26" i="34"/>
  <c r="H17" i="34"/>
  <c r="G33" i="34"/>
  <c r="G12" i="34"/>
  <c r="I11" i="34"/>
  <c r="I29" i="34"/>
  <c r="I18" i="34"/>
  <c r="J4" i="34"/>
  <c r="H10" i="34"/>
  <c r="H28" i="34"/>
  <c r="H22" i="34" s="1"/>
  <c r="H27" i="34"/>
  <c r="H24" i="34" s="1"/>
  <c r="H19" i="34" s="1"/>
  <c r="G14" i="34"/>
  <c r="G31" i="34" s="1"/>
  <c r="G13" i="34"/>
  <c r="G9" i="34"/>
  <c r="G16" i="34"/>
  <c r="G8" i="34"/>
  <c r="G30" i="34" s="1"/>
  <c r="G15" i="34"/>
  <c r="H2" i="34"/>
  <c r="H16" i="33"/>
  <c r="H8" i="33"/>
  <c r="H30" i="33" s="1"/>
  <c r="I2" i="33"/>
  <c r="H15" i="33"/>
  <c r="H29" i="33"/>
  <c r="H13" i="33"/>
  <c r="H9" i="33"/>
  <c r="H14" i="33"/>
  <c r="H31" i="33" s="1"/>
  <c r="H15" i="32"/>
  <c r="H32" i="32"/>
  <c r="H16" i="32"/>
  <c r="H8" i="32"/>
  <c r="H33" i="32" s="1"/>
  <c r="I2" i="32"/>
  <c r="H9" i="32"/>
  <c r="H9" i="28"/>
  <c r="H30" i="28"/>
  <c r="H15" i="28"/>
  <c r="H31" i="28"/>
  <c r="H16" i="28"/>
  <c r="H8" i="28"/>
  <c r="I2" i="28"/>
  <c r="H15" i="34" l="1"/>
  <c r="I2" i="34"/>
  <c r="H9" i="34"/>
  <c r="H16" i="34"/>
  <c r="H8" i="34"/>
  <c r="H30" i="34" s="1"/>
  <c r="I26" i="34"/>
  <c r="I17" i="34"/>
  <c r="H23" i="34"/>
  <c r="H21" i="34" s="1"/>
  <c r="H14" i="34" s="1"/>
  <c r="H31" i="34" s="1"/>
  <c r="H33" i="34"/>
  <c r="H12" i="34"/>
  <c r="J11" i="34"/>
  <c r="J29" i="34"/>
  <c r="J18" i="34"/>
  <c r="K4" i="34"/>
  <c r="H25" i="34"/>
  <c r="I27" i="34"/>
  <c r="I24" i="34" s="1"/>
  <c r="I19" i="34" s="1"/>
  <c r="I10" i="34"/>
  <c r="I28" i="34"/>
  <c r="I15" i="33"/>
  <c r="I14" i="33"/>
  <c r="I31" i="33" s="1"/>
  <c r="I16" i="33"/>
  <c r="I8" i="33"/>
  <c r="I30" i="33" s="1"/>
  <c r="J2" i="33"/>
  <c r="I29" i="33"/>
  <c r="I13" i="33"/>
  <c r="I9" i="33"/>
  <c r="I15" i="32"/>
  <c r="I32" i="32"/>
  <c r="I16" i="32"/>
  <c r="I8" i="32"/>
  <c r="I33" i="32" s="1"/>
  <c r="J2" i="32"/>
  <c r="I9" i="32"/>
  <c r="I31" i="28"/>
  <c r="I16" i="28"/>
  <c r="I8" i="28"/>
  <c r="J2" i="28"/>
  <c r="I9" i="28"/>
  <c r="I30" i="28"/>
  <c r="I15" i="28"/>
  <c r="I22" i="34" l="1"/>
  <c r="I33" i="34"/>
  <c r="I12" i="34"/>
  <c r="J24" i="34"/>
  <c r="J19" i="34" s="1"/>
  <c r="J17" i="34"/>
  <c r="J26" i="34"/>
  <c r="I23" i="34"/>
  <c r="I21" i="34" s="1"/>
  <c r="I14" i="34" s="1"/>
  <c r="I31" i="34" s="1"/>
  <c r="I25" i="34"/>
  <c r="K29" i="34"/>
  <c r="K18" i="34"/>
  <c r="L4" i="34"/>
  <c r="K11" i="34"/>
  <c r="I16" i="34"/>
  <c r="I8" i="34"/>
  <c r="I30" i="34" s="1"/>
  <c r="I15" i="34"/>
  <c r="J2" i="34"/>
  <c r="I9" i="34"/>
  <c r="J28" i="34"/>
  <c r="J23" i="34" s="1"/>
  <c r="J21" i="34" s="1"/>
  <c r="J27" i="34"/>
  <c r="J25" i="34" s="1"/>
  <c r="J22" i="34"/>
  <c r="J10" i="34"/>
  <c r="H13" i="34"/>
  <c r="J14" i="33"/>
  <c r="J31" i="33" s="1"/>
  <c r="J29" i="33"/>
  <c r="J9" i="33"/>
  <c r="J15" i="33"/>
  <c r="J16" i="33"/>
  <c r="J8" i="33"/>
  <c r="J30" i="33" s="1"/>
  <c r="K2" i="33"/>
  <c r="J13" i="33"/>
  <c r="J9" i="32"/>
  <c r="J15" i="32"/>
  <c r="J32" i="32"/>
  <c r="J16" i="32"/>
  <c r="J8" i="32"/>
  <c r="J33" i="32" s="1"/>
  <c r="K2" i="32"/>
  <c r="J30" i="28"/>
  <c r="J15" i="28"/>
  <c r="J31" i="28"/>
  <c r="J16" i="28"/>
  <c r="J8" i="28"/>
  <c r="K2" i="28"/>
  <c r="J9" i="28"/>
  <c r="L11" i="34" l="1"/>
  <c r="L29" i="34"/>
  <c r="L18" i="34"/>
  <c r="J13" i="34"/>
  <c r="J9" i="34"/>
  <c r="J16" i="34"/>
  <c r="J15" i="34"/>
  <c r="K2" i="34"/>
  <c r="J14" i="34"/>
  <c r="J31" i="34" s="1"/>
  <c r="J8" i="34"/>
  <c r="J30" i="34" s="1"/>
  <c r="J33" i="34"/>
  <c r="J12" i="34"/>
  <c r="K17" i="34"/>
  <c r="K26" i="34"/>
  <c r="I13" i="34"/>
  <c r="K10" i="34"/>
  <c r="K28" i="34"/>
  <c r="K22" i="34" s="1"/>
  <c r="K27" i="34"/>
  <c r="K29" i="33"/>
  <c r="K13" i="33"/>
  <c r="K9" i="33"/>
  <c r="K16" i="33"/>
  <c r="L2" i="33"/>
  <c r="K14" i="33"/>
  <c r="K31" i="33" s="1"/>
  <c r="K15" i="33"/>
  <c r="K8" i="33"/>
  <c r="K30" i="33" s="1"/>
  <c r="K32" i="32"/>
  <c r="K16" i="32"/>
  <c r="L2" i="32"/>
  <c r="K9" i="32"/>
  <c r="K15" i="32"/>
  <c r="K8" i="32"/>
  <c r="K33" i="32" s="1"/>
  <c r="K30" i="28"/>
  <c r="K15" i="28"/>
  <c r="K8" i="28"/>
  <c r="L2" i="28"/>
  <c r="K31" i="28"/>
  <c r="K16" i="28"/>
  <c r="K9" i="28"/>
  <c r="K24" i="34" l="1"/>
  <c r="K19" i="34" s="1"/>
  <c r="K23" i="34"/>
  <c r="K21" i="34" s="1"/>
  <c r="K14" i="34" s="1"/>
  <c r="K31" i="34" s="1"/>
  <c r="K9" i="34"/>
  <c r="K16" i="34"/>
  <c r="K8" i="34"/>
  <c r="K30" i="34" s="1"/>
  <c r="K15" i="34"/>
  <c r="L2" i="34"/>
  <c r="L10" i="34"/>
  <c r="L28" i="34"/>
  <c r="L27" i="34"/>
  <c r="L24" i="34" s="1"/>
  <c r="L19" i="34" s="1"/>
  <c r="M19" i="34" s="1" a="1"/>
  <c r="M19" i="34" s="1"/>
  <c r="K25" i="34"/>
  <c r="K33" i="34"/>
  <c r="K12" i="34"/>
  <c r="L26" i="34"/>
  <c r="L22" i="34" s="1"/>
  <c r="L17" i="34"/>
  <c r="L16" i="33"/>
  <c r="M2" i="33"/>
  <c r="L29" i="33"/>
  <c r="L13" i="33"/>
  <c r="L9" i="33"/>
  <c r="L8" i="33" s="1"/>
  <c r="L30" i="33" s="1"/>
  <c r="L14" i="33"/>
  <c r="L31" i="33" s="1"/>
  <c r="L15" i="33"/>
  <c r="K25" i="32"/>
  <c r="G25" i="32"/>
  <c r="C25" i="32"/>
  <c r="M23" i="32"/>
  <c r="M21" i="32" s="1"/>
  <c r="I23" i="32"/>
  <c r="E23" i="32"/>
  <c r="E21" i="32" s="1"/>
  <c r="N22" i="32"/>
  <c r="J22" i="32"/>
  <c r="F22" i="32"/>
  <c r="B22" i="32"/>
  <c r="B13" i="32" s="1"/>
  <c r="L15" i="32"/>
  <c r="L32" i="32"/>
  <c r="L25" i="32"/>
  <c r="H25" i="32"/>
  <c r="D25" i="32"/>
  <c r="N23" i="32"/>
  <c r="N21" i="32" s="1"/>
  <c r="J23" i="32"/>
  <c r="F23" i="32"/>
  <c r="B23" i="32"/>
  <c r="B21" i="32" s="1"/>
  <c r="K22" i="32"/>
  <c r="G22" i="32"/>
  <c r="C22" i="32"/>
  <c r="C13" i="32" s="1"/>
  <c r="L16" i="32"/>
  <c r="M2" i="32"/>
  <c r="M25" i="32"/>
  <c r="I25" i="32"/>
  <c r="E25" i="32"/>
  <c r="K23" i="32"/>
  <c r="G23" i="32"/>
  <c r="C23" i="32"/>
  <c r="C21" i="32" s="1"/>
  <c r="L22" i="32"/>
  <c r="H22" i="32"/>
  <c r="D22" i="32"/>
  <c r="D13" i="32" s="1"/>
  <c r="L9" i="32"/>
  <c r="L8" i="32" s="1"/>
  <c r="L33" i="32" s="1"/>
  <c r="N25" i="32"/>
  <c r="J25" i="32"/>
  <c r="F25" i="32"/>
  <c r="B25" i="32"/>
  <c r="L23" i="32"/>
  <c r="L21" i="32" s="1"/>
  <c r="H23" i="32"/>
  <c r="H13" i="32" s="1"/>
  <c r="D23" i="32"/>
  <c r="D21" i="32" s="1"/>
  <c r="M22" i="32"/>
  <c r="I22" i="32"/>
  <c r="E22" i="32"/>
  <c r="E13" i="32" s="1"/>
  <c r="F13" i="32"/>
  <c r="G13" i="32"/>
  <c r="I13" i="32"/>
  <c r="J13" i="32"/>
  <c r="M31" i="28"/>
  <c r="K23" i="28"/>
  <c r="G23" i="28"/>
  <c r="C23" i="28"/>
  <c r="M21" i="28"/>
  <c r="I21" i="28"/>
  <c r="I33" i="28" s="1"/>
  <c r="E21" i="28"/>
  <c r="N20" i="28"/>
  <c r="J20" i="28"/>
  <c r="F20" i="28"/>
  <c r="F33" i="28" s="1"/>
  <c r="B20" i="28"/>
  <c r="L9" i="28"/>
  <c r="N31" i="28"/>
  <c r="L23" i="28"/>
  <c r="L14" i="28" s="1"/>
  <c r="H23" i="28"/>
  <c r="D23" i="28"/>
  <c r="N21" i="28"/>
  <c r="J21" i="28"/>
  <c r="J33" i="28" s="1"/>
  <c r="F21" i="28"/>
  <c r="B21" i="28"/>
  <c r="K20" i="28"/>
  <c r="G20" i="28"/>
  <c r="C20" i="28"/>
  <c r="L30" i="28"/>
  <c r="M23" i="28"/>
  <c r="I23" i="28"/>
  <c r="E23" i="28"/>
  <c r="K21" i="28"/>
  <c r="G21" i="28"/>
  <c r="G33" i="28" s="1"/>
  <c r="C21" i="28"/>
  <c r="L20" i="28"/>
  <c r="H20" i="28"/>
  <c r="D20" i="28"/>
  <c r="L15" i="28"/>
  <c r="L31" i="28"/>
  <c r="N23" i="28"/>
  <c r="J23" i="28"/>
  <c r="F23" i="28"/>
  <c r="B23" i="28"/>
  <c r="L21" i="28"/>
  <c r="L33" i="28" s="1"/>
  <c r="H21" i="28"/>
  <c r="H33" i="28" s="1"/>
  <c r="D21" i="28"/>
  <c r="M20" i="28"/>
  <c r="I20" i="28"/>
  <c r="E20" i="28"/>
  <c r="L16" i="28"/>
  <c r="L8" i="28"/>
  <c r="M2" i="28"/>
  <c r="F13" i="28"/>
  <c r="F32" i="28" s="1"/>
  <c r="F14" i="28"/>
  <c r="G13" i="28"/>
  <c r="G32" i="28" s="1"/>
  <c r="H14" i="28"/>
  <c r="H13" i="28"/>
  <c r="H32" i="28" s="1"/>
  <c r="I14" i="28"/>
  <c r="I13" i="28"/>
  <c r="I32" i="28" s="1"/>
  <c r="J13" i="28"/>
  <c r="J32" i="28" s="1"/>
  <c r="J14" i="28"/>
  <c r="K14" i="28"/>
  <c r="K13" i="34" l="1"/>
  <c r="M33" i="28"/>
  <c r="L33" i="34"/>
  <c r="L12" i="34"/>
  <c r="L15" i="34"/>
  <c r="L9" i="34"/>
  <c r="L16" i="34"/>
  <c r="L8" i="34"/>
  <c r="L30" i="34" s="1"/>
  <c r="L25" i="34"/>
  <c r="L23" i="34"/>
  <c r="L21" i="34" s="1"/>
  <c r="L14" i="34" s="1"/>
  <c r="L31" i="34" s="1"/>
  <c r="M15" i="33"/>
  <c r="M16" i="33"/>
  <c r="N2" i="33"/>
  <c r="M29" i="33"/>
  <c r="M13" i="33"/>
  <c r="M9" i="33"/>
  <c r="M8" i="33" s="1"/>
  <c r="M30" i="33" s="1"/>
  <c r="M14" i="33"/>
  <c r="M31" i="33" s="1"/>
  <c r="H21" i="32"/>
  <c r="H30" i="32"/>
  <c r="H14" i="32"/>
  <c r="H34" i="32" s="1"/>
  <c r="H31" i="32"/>
  <c r="H29" i="32" s="1"/>
  <c r="C30" i="32"/>
  <c r="C31" i="32"/>
  <c r="C14" i="32"/>
  <c r="C34" i="32" s="1"/>
  <c r="I21" i="32"/>
  <c r="I14" i="32"/>
  <c r="I34" i="32" s="1"/>
  <c r="I31" i="32"/>
  <c r="I30" i="32"/>
  <c r="L13" i="32"/>
  <c r="D31" i="32"/>
  <c r="D14" i="32"/>
  <c r="D34" i="32" s="1"/>
  <c r="D30" i="32"/>
  <c r="M31" i="32"/>
  <c r="M14" i="32"/>
  <c r="M34" i="32" s="1"/>
  <c r="M15" i="32"/>
  <c r="M32" i="32"/>
  <c r="M16" i="32"/>
  <c r="N2" i="32"/>
  <c r="M30" i="32"/>
  <c r="M13" i="32"/>
  <c r="M9" i="32"/>
  <c r="M8" i="32" s="1"/>
  <c r="M33" i="32" s="1"/>
  <c r="J21" i="32"/>
  <c r="J31" i="32"/>
  <c r="J30" i="32"/>
  <c r="J14" i="32"/>
  <c r="J34" i="32" s="1"/>
  <c r="E14" i="32"/>
  <c r="E34" i="32" s="1"/>
  <c r="E31" i="32"/>
  <c r="E29" i="32" s="1"/>
  <c r="E30" i="32"/>
  <c r="L14" i="32"/>
  <c r="L34" i="32" s="1"/>
  <c r="K21" i="32"/>
  <c r="K31" i="32"/>
  <c r="K13" i="32"/>
  <c r="K30" i="32"/>
  <c r="K14" i="32"/>
  <c r="K34" i="32" s="1"/>
  <c r="F21" i="32"/>
  <c r="F31" i="32"/>
  <c r="F14" i="32"/>
  <c r="F34" i="32" s="1"/>
  <c r="F30" i="32"/>
  <c r="L31" i="32"/>
  <c r="L29" i="32" s="1"/>
  <c r="L30" i="32"/>
  <c r="G21" i="32"/>
  <c r="G31" i="32"/>
  <c r="G30" i="32"/>
  <c r="G14" i="32"/>
  <c r="G34" i="32" s="1"/>
  <c r="B14" i="32"/>
  <c r="B34" i="32" s="1"/>
  <c r="B30" i="32"/>
  <c r="B31" i="32"/>
  <c r="B29" i="32" s="1"/>
  <c r="M16" i="28"/>
  <c r="N2" i="28"/>
  <c r="M13" i="28"/>
  <c r="M32" i="28" s="1"/>
  <c r="M9" i="28"/>
  <c r="M8" i="28" s="1"/>
  <c r="M14" i="28"/>
  <c r="M30" i="28"/>
  <c r="M15" i="28"/>
  <c r="K33" i="28"/>
  <c r="K13" i="28"/>
  <c r="K32" i="28" s="1"/>
  <c r="G14" i="28"/>
  <c r="E33" i="28"/>
  <c r="E13" i="28"/>
  <c r="E32" i="28" s="1"/>
  <c r="E14" i="28"/>
  <c r="D33" i="28"/>
  <c r="D14" i="28"/>
  <c r="D13" i="28"/>
  <c r="D32" i="28" s="1"/>
  <c r="B33" i="28"/>
  <c r="B13" i="28"/>
  <c r="B32" i="28" s="1"/>
  <c r="B14" i="28"/>
  <c r="C33" i="28"/>
  <c r="C13" i="28"/>
  <c r="C32" i="28" s="1"/>
  <c r="C14" i="28"/>
  <c r="L13" i="28"/>
  <c r="L32" i="28" s="1"/>
  <c r="G29" i="32" l="1"/>
  <c r="L13" i="34"/>
  <c r="K29" i="32"/>
  <c r="J29" i="32"/>
  <c r="M29" i="32"/>
  <c r="N14" i="33"/>
  <c r="N31" i="33" s="1"/>
  <c r="N13" i="33"/>
  <c r="N15" i="33"/>
  <c r="N9" i="33"/>
  <c r="N16" i="33"/>
  <c r="N8" i="33"/>
  <c r="N30" i="33" s="1"/>
  <c r="O2" i="33"/>
  <c r="N29" i="33"/>
  <c r="F29" i="32"/>
  <c r="D29" i="32"/>
  <c r="I29" i="32"/>
  <c r="C29" i="32"/>
  <c r="N30" i="32"/>
  <c r="N29" i="32" s="1"/>
  <c r="N13" i="32"/>
  <c r="N9" i="32"/>
  <c r="N8" i="32" s="1"/>
  <c r="N33" i="32" s="1"/>
  <c r="N31" i="32"/>
  <c r="N14" i="32"/>
  <c r="N34" i="32" s="1"/>
  <c r="N15" i="32"/>
  <c r="N32" i="32"/>
  <c r="N16" i="32"/>
  <c r="N30" i="28"/>
  <c r="N15" i="28"/>
  <c r="N16" i="28"/>
  <c r="N8" i="28"/>
  <c r="N13" i="28"/>
  <c r="N32" i="28" s="1"/>
  <c r="N9" i="28"/>
  <c r="N14" i="28"/>
  <c r="N33" i="28"/>
  <c r="O29" i="33" l="1"/>
  <c r="O13" i="33"/>
  <c r="O9" i="33"/>
  <c r="O8" i="33" s="1"/>
  <c r="O30" i="33" s="1"/>
  <c r="P2" i="33"/>
  <c r="O14" i="33"/>
  <c r="O31" i="33" s="1"/>
  <c r="O16" i="33"/>
  <c r="O15" i="33"/>
  <c r="P16" i="33" l="1"/>
  <c r="Q2" i="33"/>
  <c r="P15" i="33"/>
  <c r="P29" i="33"/>
  <c r="P13" i="33"/>
  <c r="P9" i="33"/>
  <c r="P8" i="33" s="1"/>
  <c r="P30" i="33" s="1"/>
  <c r="P14" i="33"/>
  <c r="P31" i="33" s="1"/>
  <c r="Q15" i="33" l="1"/>
  <c r="Q14" i="33"/>
  <c r="Q31" i="33" s="1"/>
  <c r="Q16" i="33"/>
  <c r="R2" i="33"/>
  <c r="Q29" i="33"/>
  <c r="Q13" i="33"/>
  <c r="Q9" i="33"/>
  <c r="Q8" i="33" s="1"/>
  <c r="Q30" i="33" s="1"/>
  <c r="R14" i="33" l="1"/>
  <c r="R31" i="33" s="1"/>
  <c r="R29" i="33"/>
  <c r="R9" i="33"/>
  <c r="R8" i="33" s="1"/>
  <c r="R30" i="33" s="1"/>
  <c r="R15" i="33"/>
  <c r="R16" i="33"/>
  <c r="S2" i="33"/>
  <c r="R13" i="33"/>
  <c r="S29" i="33" l="1"/>
  <c r="S13" i="33"/>
  <c r="S9" i="33"/>
  <c r="S8" i="33" s="1"/>
  <c r="S30" i="33" s="1"/>
  <c r="T2" i="33"/>
  <c r="S14" i="33"/>
  <c r="S31" i="33" s="1"/>
  <c r="S16" i="33"/>
  <c r="S15" i="33"/>
  <c r="T16" i="33" l="1"/>
  <c r="U2" i="33"/>
  <c r="T29" i="33"/>
  <c r="T13" i="33"/>
  <c r="T9" i="33"/>
  <c r="T8" i="33" s="1"/>
  <c r="T30" i="33" s="1"/>
  <c r="T14" i="33"/>
  <c r="T31" i="33" s="1"/>
  <c r="T15" i="33"/>
  <c r="U15" i="33" l="1"/>
  <c r="U16" i="33"/>
  <c r="V2" i="33"/>
  <c r="U29" i="33"/>
  <c r="U13" i="33"/>
  <c r="U9" i="33"/>
  <c r="U8" i="33" s="1"/>
  <c r="U30" i="33" s="1"/>
  <c r="U14" i="33"/>
  <c r="U31" i="33" s="1"/>
  <c r="V14" i="33" l="1"/>
  <c r="V31" i="33" s="1"/>
  <c r="V13" i="33"/>
  <c r="V9" i="33"/>
  <c r="V15" i="33"/>
  <c r="V29" i="33"/>
  <c r="V16" i="33"/>
  <c r="V8" i="33"/>
  <c r="V30" i="33" s="1"/>
  <c r="B18" i="30" l="1"/>
  <c r="B14" i="30"/>
  <c r="B27" i="30" s="1"/>
  <c r="B12" i="30"/>
  <c r="B26" i="30" l="1"/>
  <c r="B13" i="30"/>
  <c r="B28" i="30"/>
  <c r="B24" i="30" s="1"/>
  <c r="B30" i="30" s="1"/>
  <c r="B23" i="30" l="1"/>
  <c r="B21" i="30" s="1"/>
  <c r="B17" i="30"/>
  <c r="B15" i="30"/>
  <c r="B11" i="30"/>
  <c r="B19" i="30"/>
  <c r="B29" i="30" l="1"/>
  <c r="B31" i="30" s="1"/>
  <c r="A19" i="25" l="1"/>
  <c r="A21" i="25"/>
  <c r="B14" i="25"/>
  <c r="B21" i="25" s="1"/>
  <c r="A20" i="25"/>
  <c r="A18" i="25"/>
  <c r="B16" i="25"/>
  <c r="B15" i="25" s="1"/>
  <c r="B11" i="25"/>
  <c r="B10" i="25" s="1"/>
  <c r="B8" i="25" s="1"/>
  <c r="B18" i="25" s="1"/>
  <c r="B9" i="25"/>
  <c r="B19" i="25" s="1"/>
  <c r="C6" i="25"/>
  <c r="C5" i="25"/>
  <c r="C16" i="25" s="1"/>
  <c r="C15" i="25" s="1"/>
  <c r="D4" i="25"/>
  <c r="E4" i="25" s="1"/>
  <c r="C4" i="25"/>
  <c r="C3" i="25"/>
  <c r="D3" i="25" s="1"/>
  <c r="D2" i="25"/>
  <c r="E2" i="25" s="1"/>
  <c r="C2" i="25"/>
  <c r="A14" i="24"/>
  <c r="A13" i="24"/>
  <c r="E8" i="24"/>
  <c r="F8" i="24" s="1"/>
  <c r="G8" i="24" s="1"/>
  <c r="H8" i="24" s="1"/>
  <c r="I8" i="24" s="1"/>
  <c r="J8" i="24" s="1"/>
  <c r="K8" i="24" s="1"/>
  <c r="L8" i="24" s="1"/>
  <c r="B4" i="24"/>
  <c r="B3" i="24"/>
  <c r="B5" i="24" s="1"/>
  <c r="C2" i="24"/>
  <c r="C3" i="24" s="1"/>
  <c r="E3" i="25" l="1"/>
  <c r="E14" i="25" s="1"/>
  <c r="E21" i="25" s="1"/>
  <c r="D14" i="25"/>
  <c r="D21" i="25" s="1"/>
  <c r="C9" i="25"/>
  <c r="C19" i="25" s="1"/>
  <c r="C14" i="25"/>
  <c r="C21" i="25" s="1"/>
  <c r="B13" i="25"/>
  <c r="B20" i="25" s="1"/>
  <c r="E9" i="25"/>
  <c r="E19" i="25" s="1"/>
  <c r="F2" i="25"/>
  <c r="E16" i="25"/>
  <c r="E15" i="25" s="1"/>
  <c r="E13" i="25" s="1"/>
  <c r="E20" i="25" s="1"/>
  <c r="F4" i="25"/>
  <c r="E11" i="25"/>
  <c r="E10" i="25" s="1"/>
  <c r="E8" i="25" s="1"/>
  <c r="E18" i="25" s="1"/>
  <c r="F3" i="25"/>
  <c r="F14" i="25" s="1"/>
  <c r="F21" i="25" s="1"/>
  <c r="C13" i="25"/>
  <c r="C20" i="25" s="1"/>
  <c r="D16" i="25"/>
  <c r="D15" i="25" s="1"/>
  <c r="D13" i="25" s="1"/>
  <c r="D20" i="25" s="1"/>
  <c r="D9" i="25"/>
  <c r="D19" i="25" s="1"/>
  <c r="D11" i="25"/>
  <c r="D10" i="25" s="1"/>
  <c r="D8" i="25" s="1"/>
  <c r="D18" i="25" s="1"/>
  <c r="C11" i="25"/>
  <c r="C10" i="25" s="1"/>
  <c r="C8" i="25" s="1"/>
  <c r="C18" i="25" s="1"/>
  <c r="C4" i="24"/>
  <c r="C5" i="24" s="1"/>
  <c r="D2" i="24"/>
  <c r="G3" i="25" l="1"/>
  <c r="G14" i="25" s="1"/>
  <c r="G21" i="25" s="1"/>
  <c r="G4" i="25"/>
  <c r="F16" i="25"/>
  <c r="F15" i="25" s="1"/>
  <c r="F11" i="25"/>
  <c r="F10" i="25" s="1"/>
  <c r="F8" i="25" s="1"/>
  <c r="F18" i="25" s="1"/>
  <c r="F13" i="25"/>
  <c r="F20" i="25" s="1"/>
  <c r="F9" i="25"/>
  <c r="F19" i="25" s="1"/>
  <c r="G2" i="25"/>
  <c r="D3" i="24"/>
  <c r="E2" i="24"/>
  <c r="D4" i="24"/>
  <c r="D5" i="24" l="1"/>
  <c r="G13" i="25"/>
  <c r="G20" i="25" s="1"/>
  <c r="G9" i="25"/>
  <c r="G19" i="25" s="1"/>
  <c r="H2" i="25"/>
  <c r="H3" i="25"/>
  <c r="H14" i="25" s="1"/>
  <c r="H21" i="25" s="1"/>
  <c r="G16" i="25"/>
  <c r="G15" i="25" s="1"/>
  <c r="G11" i="25"/>
  <c r="G10" i="25" s="1"/>
  <c r="G8" i="25" s="1"/>
  <c r="G18" i="25" s="1"/>
  <c r="H4" i="25"/>
  <c r="F2" i="24"/>
  <c r="E3" i="24"/>
  <c r="E4" i="24"/>
  <c r="E5" i="24" s="1"/>
  <c r="I4" i="25" l="1"/>
  <c r="H16" i="25"/>
  <c r="H15" i="25" s="1"/>
  <c r="H13" i="25" s="1"/>
  <c r="H20" i="25" s="1"/>
  <c r="H11" i="25"/>
  <c r="H10" i="25" s="1"/>
  <c r="H8" i="25" s="1"/>
  <c r="H18" i="25" s="1"/>
  <c r="I3" i="25"/>
  <c r="I2" i="25"/>
  <c r="H9" i="25"/>
  <c r="H19" i="25" s="1"/>
  <c r="F4" i="24"/>
  <c r="G2" i="24"/>
  <c r="F3" i="24"/>
  <c r="F5" i="24" s="1"/>
  <c r="I14" i="25" l="1"/>
  <c r="I21" i="25" s="1"/>
  <c r="I16" i="25"/>
  <c r="I15" i="25" s="1"/>
  <c r="I13" i="25" s="1"/>
  <c r="I20" i="25" s="1"/>
  <c r="I11" i="25"/>
  <c r="I10" i="25" s="1"/>
  <c r="I8" i="25" s="1"/>
  <c r="I18" i="25" s="1"/>
  <c r="J4" i="25"/>
  <c r="I9" i="25"/>
  <c r="I19" i="25" s="1"/>
  <c r="J2" i="25"/>
  <c r="J3" i="25"/>
  <c r="G3" i="24"/>
  <c r="G5" i="24" s="1"/>
  <c r="H2" i="24"/>
  <c r="G4" i="24"/>
  <c r="J14" i="25" l="1"/>
  <c r="J21" i="25" s="1"/>
  <c r="K3" i="25"/>
  <c r="K2" i="25"/>
  <c r="J9" i="25"/>
  <c r="J19" i="25" s="1"/>
  <c r="J11" i="25"/>
  <c r="J10" i="25" s="1"/>
  <c r="J8" i="25" s="1"/>
  <c r="J18" i="25" s="1"/>
  <c r="K4" i="25"/>
  <c r="J16" i="25"/>
  <c r="J15" i="25" s="1"/>
  <c r="J13" i="25" s="1"/>
  <c r="J20" i="25" s="1"/>
  <c r="H3" i="24"/>
  <c r="I2" i="24"/>
  <c r="H4" i="24"/>
  <c r="K14" i="25" l="1"/>
  <c r="K21" i="25" s="1"/>
  <c r="H5" i="24"/>
  <c r="K9" i="25"/>
  <c r="K19" i="25" s="1"/>
  <c r="L2" i="25"/>
  <c r="L3" i="25"/>
  <c r="K16" i="25"/>
  <c r="K15" i="25" s="1"/>
  <c r="K13" i="25" s="1"/>
  <c r="K20" i="25" s="1"/>
  <c r="K11" i="25"/>
  <c r="K10" i="25" s="1"/>
  <c r="K8" i="25" s="1"/>
  <c r="K18" i="25" s="1"/>
  <c r="L4" i="25"/>
  <c r="I3" i="24"/>
  <c r="I5" i="24" s="1"/>
  <c r="J2" i="24"/>
  <c r="I4" i="24"/>
  <c r="L14" i="25" l="1"/>
  <c r="L21" i="25" s="1"/>
  <c r="M2" i="25"/>
  <c r="L9" i="25"/>
  <c r="L19" i="25" s="1"/>
  <c r="M4" i="25"/>
  <c r="L16" i="25"/>
  <c r="L15" i="25" s="1"/>
  <c r="L13" i="25" s="1"/>
  <c r="L20" i="25" s="1"/>
  <c r="L11" i="25"/>
  <c r="L10" i="25" s="1"/>
  <c r="L8" i="25" s="1"/>
  <c r="L18" i="25" s="1"/>
  <c r="M3" i="25"/>
  <c r="M14" i="25" s="1"/>
  <c r="M21" i="25" s="1"/>
  <c r="J4" i="24"/>
  <c r="K2" i="24"/>
  <c r="J3" i="24"/>
  <c r="J5" i="24" l="1"/>
  <c r="N4" i="25"/>
  <c r="M16" i="25"/>
  <c r="M15" i="25" s="1"/>
  <c r="M13" i="25" s="1"/>
  <c r="M20" i="25" s="1"/>
  <c r="M11" i="25"/>
  <c r="M10" i="25" s="1"/>
  <c r="M8" i="25" s="1"/>
  <c r="M18" i="25" s="1"/>
  <c r="M9" i="25"/>
  <c r="M19" i="25" s="1"/>
  <c r="N2" i="25"/>
  <c r="N3" i="25"/>
  <c r="N14" i="25" s="1"/>
  <c r="N21" i="25" s="1"/>
  <c r="K3" i="24"/>
  <c r="K5" i="24" s="1"/>
  <c r="L2" i="24"/>
  <c r="K4" i="24"/>
  <c r="N9" i="25" l="1"/>
  <c r="N19" i="25" s="1"/>
  <c r="N16" i="25"/>
  <c r="N15" i="25" s="1"/>
  <c r="N13" i="25" s="1"/>
  <c r="N20" i="25" s="1"/>
  <c r="N11" i="25"/>
  <c r="N10" i="25" s="1"/>
  <c r="N8" i="25" s="1"/>
  <c r="N18" i="25" s="1"/>
  <c r="L3" i="24"/>
  <c r="M2" i="24"/>
  <c r="L4" i="24"/>
  <c r="L5" i="24" l="1"/>
  <c r="N2" i="24"/>
  <c r="M3" i="24"/>
  <c r="M5" i="24" s="1"/>
  <c r="M4" i="24"/>
  <c r="N4" i="24" l="1"/>
  <c r="N3" i="24"/>
  <c r="N5" i="24" l="1"/>
</calcChain>
</file>

<file path=xl/sharedStrings.xml><?xml version="1.0" encoding="utf-8"?>
<sst xmlns="http://schemas.openxmlformats.org/spreadsheetml/2006/main" count="548" uniqueCount="186">
  <si>
    <t>INPUT</t>
  </si>
  <si>
    <t>P</t>
  </si>
  <si>
    <t>K</t>
  </si>
  <si>
    <t>s</t>
  </si>
  <si>
    <t>r</t>
  </si>
  <si>
    <t>OUTPUT</t>
  </si>
  <si>
    <t>V-K</t>
  </si>
  <si>
    <r>
      <t>b</t>
    </r>
    <r>
      <rPr>
        <vertAlign val="subscript"/>
        <sz val="10"/>
        <rFont val="Symbol"/>
        <family val="1"/>
        <charset val="2"/>
      </rPr>
      <t>1</t>
    </r>
  </si>
  <si>
    <t xml:space="preserve"> </t>
  </si>
  <si>
    <t>R</t>
  </si>
  <si>
    <t>R^</t>
  </si>
  <si>
    <t>P^</t>
  </si>
  <si>
    <t>b2</t>
  </si>
  <si>
    <t>REAL OPTION PAYOFFS</t>
  </si>
  <si>
    <t>OWN ASSET</t>
  </si>
  <si>
    <t xml:space="preserve">WRITE REAL CALL AT K2 INTRINSIC </t>
  </si>
  <si>
    <t>BUY REAL PUT AT K1 INTRINSIC</t>
  </si>
  <si>
    <t>STRATEGY RESULT</t>
  </si>
  <si>
    <t>K2</t>
  </si>
  <si>
    <t>K1</t>
  </si>
  <si>
    <t>Debt, K</t>
  </si>
  <si>
    <t>Option cost, y2</t>
  </si>
  <si>
    <t>Option cost, y1</t>
  </si>
  <si>
    <t xml:space="preserve">   Own asset subject to debt K, buy a "costless protective put" (=protective collar).</t>
  </si>
  <si>
    <t xml:space="preserve">  STRATEGY RESULT equals real collar.</t>
  </si>
  <si>
    <t>IF(B2&gt;$B$6,$B$6-B2+$B$9,$B$9)</t>
  </si>
  <si>
    <t>IF(B2&lt;$B$7,-B2-$B$7-$B$10,-$B$10)</t>
  </si>
  <si>
    <t>B2+B3+B4</t>
  </si>
  <si>
    <t>V</t>
  </si>
  <si>
    <t>d</t>
  </si>
  <si>
    <t>ROV CALL</t>
  </si>
  <si>
    <t>V*</t>
  </si>
  <si>
    <t>ROC PUT</t>
  </si>
  <si>
    <t>K-V</t>
  </si>
  <si>
    <t>IF(B2&lt;B10,((B10-B3)*(B2/B10)^B11),B9)</t>
  </si>
  <si>
    <t>MAX(B2-B3,0)</t>
  </si>
  <si>
    <t>(B11/(B11-1))*B3</t>
  </si>
  <si>
    <t>0.5-(B5-B6)/(B4^2)+SQRT(((B5-B6)/(B4^2)-0.5)^2 + 2*B5/(B4^2))</t>
  </si>
  <si>
    <t>IF(B2&gt;B15,(-B3/(B16-1))*(B2/B15)^B16,B14)</t>
  </si>
  <si>
    <t>MAX(B3-B2,0)</t>
  </si>
  <si>
    <t>(B16/(B16-1))*B3</t>
  </si>
  <si>
    <t>0.5-(B5-B6)/(B4^2)-SQRT(((B5-B6)/(B4^2)-0.5)^2 + 2*B5/(B4^2))</t>
  </si>
  <si>
    <t>EQ</t>
  </si>
  <si>
    <t>ODE</t>
  </si>
  <si>
    <t>ACTIVE PPP WITH COLLAR</t>
  </si>
  <si>
    <t>PL</t>
  </si>
  <si>
    <t>PH</t>
  </si>
  <si>
    <t>IF(B3&lt;B13,((B4/(B14-1))*(B3/B13)^B14),B12)</t>
  </si>
  <si>
    <r>
      <t>P/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-K</t>
    </r>
  </si>
  <si>
    <t>MAX(B3/B7-B4,0)</t>
  </si>
  <si>
    <t>(B14/(B14-1))*B4*B7</t>
  </si>
  <si>
    <t>0.5-(B6-B7)/(B5^2)+SQRT(((B6-B7)/(B5^2)-0.5)^2 + 2*B6/(B5^2))</t>
  </si>
  <si>
    <t>A0</t>
  </si>
  <si>
    <t>(B4*(B13^-B14))/(B14-1)</t>
  </si>
  <si>
    <t>VC</t>
  </si>
  <si>
    <t>VC PV</t>
  </si>
  <si>
    <t>0.5-(B6-B7)/(B5^2)-SQRT(((B6-B7)/(B5^2)-0.5)^2 + 2*B6/(B5^2))</t>
  </si>
  <si>
    <t>B23*(B3^B14)</t>
  </si>
  <si>
    <t>B24*(B3^B18)</t>
  </si>
  <si>
    <t>AC11</t>
  </si>
  <si>
    <t>AC21</t>
  </si>
  <si>
    <t>($B$9/($B$9^B14))*(B26/B28)</t>
  </si>
  <si>
    <t>AC22</t>
  </si>
  <si>
    <t>(-$B$8/($B$8^B18))*(B27/B28)</t>
  </si>
  <si>
    <t>AC32</t>
  </si>
  <si>
    <t>[      ]</t>
  </si>
  <si>
    <t>(B6*B18-B6-B7*B18)</t>
  </si>
  <si>
    <t>(     )</t>
  </si>
  <si>
    <t>(B6*B14-B6-B7*B14)</t>
  </si>
  <si>
    <t>{      }</t>
  </si>
  <si>
    <t>(B14-B18)*B6*B7</t>
  </si>
  <si>
    <r>
      <t xml:space="preserve">VC </t>
    </r>
    <r>
      <rPr>
        <sz val="11"/>
        <color theme="1"/>
        <rFont val="Symbol"/>
        <family val="1"/>
        <charset val="2"/>
      </rPr>
      <t>D</t>
    </r>
  </si>
  <si>
    <r>
      <t xml:space="preserve">VC </t>
    </r>
    <r>
      <rPr>
        <sz val="11"/>
        <color theme="1"/>
        <rFont val="Symbol"/>
        <family val="1"/>
        <charset val="2"/>
      </rPr>
      <t>G</t>
    </r>
  </si>
  <si>
    <t>INVESTMENT OPPORTUNITY FOR A PPP WITH A COLLAR OPTION</t>
  </si>
  <si>
    <t>ROV COLLAR</t>
  </si>
  <si>
    <t>IF(B3&lt;B20,B21*(B3^B14),B3/B7-B4+B23*(B3^B14)+B24*(B3^B18))</t>
  </si>
  <si>
    <t>FIND P^</t>
  </si>
  <si>
    <t>B20/B7-(B14/(B14-1))*B4+((B14-B18)/(B14-1))*B24*(B20^B18)</t>
  </si>
  <si>
    <t>SOLVER Set B19=0, changing B20</t>
  </si>
  <si>
    <t>AC0</t>
  </si>
  <si>
    <t>(1/(B14-B18))*((1-B18)*(B20/B7)+B18*B4)*(B20^-B14)+B23</t>
  </si>
  <si>
    <t>B12+B30+B31</t>
  </si>
  <si>
    <t>P*</t>
  </si>
  <si>
    <t>FC</t>
  </si>
  <si>
    <r>
      <t>K-P/</t>
    </r>
    <r>
      <rPr>
        <sz val="11"/>
        <color theme="1"/>
        <rFont val="Symbol"/>
        <family val="1"/>
        <charset val="2"/>
      </rPr>
      <t>d</t>
    </r>
  </si>
  <si>
    <t>[     ]</t>
  </si>
  <si>
    <t>(B3*(B10^-B11))/(B11-1)</t>
  </si>
  <si>
    <t>IF(B2&lt;$F$2,$F$2/B5+B20*(B2^B11),IF(B2&gt;$L$2,$L$2/B5+B23*(B2^B18),B2/B6+B21*(B2^B11)+B22*(B2^B18)))</t>
  </si>
  <si>
    <t>IF(B2&lt;$F$2,B20*(B2^B11),(IF(B2&gt;$L$2,B23*(B2^B18)),B21*(B2^B11)+B22*(B2^B18)))</t>
  </si>
  <si>
    <t xml:space="preserve">VC </t>
  </si>
  <si>
    <t>NPV</t>
  </si>
  <si>
    <t>ODE COLLAR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</si>
  <si>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</si>
  <si>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P</t>
    </r>
  </si>
  <si>
    <t>PL, PH</t>
  </si>
  <si>
    <t>GUIDE TO ROV CH 14 INCENTIVE EXCELS</t>
  </si>
  <si>
    <t>STATIC COLLAR</t>
  </si>
  <si>
    <t>CALL PUT</t>
  </si>
  <si>
    <t>FIG A2</t>
  </si>
  <si>
    <t>FIG A3</t>
  </si>
  <si>
    <t>FIG A4</t>
  </si>
  <si>
    <t>FIG A5</t>
  </si>
  <si>
    <t>Protective Collar Payoff</t>
  </si>
  <si>
    <t>Per Am Options</t>
  </si>
  <si>
    <t>ACTIVE COLLAR</t>
  </si>
  <si>
    <t>INVEST COLLAR</t>
  </si>
  <si>
    <t>ROV PUT</t>
  </si>
  <si>
    <r>
      <t>R</t>
    </r>
    <r>
      <rPr>
        <vertAlign val="subscript"/>
        <sz val="11"/>
        <color theme="1"/>
        <rFont val="Calibri"/>
        <family val="2"/>
        <scheme val="minor"/>
      </rPr>
      <t>L</t>
    </r>
  </si>
  <si>
    <t>VCf</t>
  </si>
  <si>
    <t>IF(B3&lt;B8,B8/B6+B16,B3/B7+B18)</t>
  </si>
  <si>
    <t>VCf PV</t>
  </si>
  <si>
    <t>IF(B3&lt;B8,B8/B6,B3/B7)</t>
  </si>
  <si>
    <r>
      <t>R/</t>
    </r>
    <r>
      <rPr>
        <sz val="11"/>
        <color theme="1"/>
        <rFont val="Symbol"/>
        <family val="1"/>
        <charset val="2"/>
      </rPr>
      <t>d</t>
    </r>
  </si>
  <si>
    <t>B3/B7</t>
  </si>
  <si>
    <r>
      <t>ACf11*R^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1</t>
    </r>
  </si>
  <si>
    <t>B21*(B3^B14)</t>
  </si>
  <si>
    <r>
      <t>ACf22*R^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2</t>
    </r>
  </si>
  <si>
    <t>B23*(B3^B15)</t>
  </si>
  <si>
    <t xml:space="preserve">  </t>
  </si>
  <si>
    <t>ACf11</t>
  </si>
  <si>
    <t>(-B8/(B8^B14))*(B25/B27)</t>
  </si>
  <si>
    <t>ACf22</t>
  </si>
  <si>
    <t>(-B8/(B8^B15))*(B26/B27)</t>
  </si>
  <si>
    <t>(B6*B15-B6-B7*B15)</t>
  </si>
  <si>
    <t>(B14-B15)*B6*B7</t>
  </si>
  <si>
    <t>0.5*(B5^2)*(B3^2)*B31+(B6-B7)*B3*B30-B6*B11+MIN(MAX(B8,B3))</t>
  </si>
  <si>
    <t>IF(B3&lt;B8,1/B6+B14*B21*(B3^(B14-1)),1/B7+B15*B23*(B3^(B15-1)))</t>
  </si>
  <si>
    <t>IF(B3&lt;B8,(B14-1)*B14*B21*(B3^(B14-2)),(B15-1)*B15*B23*(B3^(B15-2)))</t>
  </si>
  <si>
    <t>IF(B3&lt;B8)</t>
  </si>
  <si>
    <t>B14*B21*(B3^(B14-1))</t>
  </si>
  <si>
    <t>IF(B8&lt;B3</t>
  </si>
  <si>
    <t>1/B7+B15*B23*(B3^(B15-1))</t>
  </si>
  <si>
    <t>Decomposition</t>
  </si>
  <si>
    <t>1/B7</t>
  </si>
  <si>
    <t>B15*B23*(B3^(B15-1))</t>
  </si>
  <si>
    <r>
      <t>R</t>
    </r>
    <r>
      <rPr>
        <vertAlign val="subscript"/>
        <sz val="11"/>
        <color theme="1"/>
        <rFont val="Calibri"/>
        <family val="2"/>
        <scheme val="minor"/>
      </rPr>
      <t>H</t>
    </r>
  </si>
  <si>
    <t>VCc</t>
  </si>
  <si>
    <t>IF(B3&lt;B9,B3/B7+B17,B9/B6+B19)</t>
  </si>
  <si>
    <r>
      <t>ACc21*R^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1</t>
    </r>
  </si>
  <si>
    <t>B22*(B3^B14)</t>
  </si>
  <si>
    <r>
      <t>ACc32*R^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2</t>
    </r>
  </si>
  <si>
    <t>B24*(B3^B15)</t>
  </si>
  <si>
    <t>ACc21</t>
  </si>
  <si>
    <t>(B9/(B9^B14))*(B25/B27)</t>
  </si>
  <si>
    <t>ACc32</t>
  </si>
  <si>
    <t>(B9/(B9^B15))*(B26/B27)</t>
  </si>
  <si>
    <t>0.5*(B5^2)*(B3^2)*B31+(B6-B7)*B3*B30-B6*B11+MAX(MIN(B3,B9))</t>
  </si>
  <si>
    <t>IF(B3&lt;B9,1/B7+B14*B22*(B3^(B14-1)),1/B6+B15*B24*(B3^(B15-1)))</t>
  </si>
  <si>
    <t>IF(B3&lt;B9,(B14-1)*B14*B22*(B3^(B14-2)),(B15-1)*B15*B24*(B3^(B15-2)))</t>
  </si>
  <si>
    <t>IF(B3&lt;B9)</t>
  </si>
  <si>
    <t>1/B7+B14*B22*(B3^(B14-1))</t>
  </si>
  <si>
    <t>B14*B22*(B3^(B14-1))</t>
  </si>
  <si>
    <t>IF(B9&lt;B3</t>
  </si>
  <si>
    <t>B15*B24*(B3^(B15-1))</t>
  </si>
  <si>
    <t>F1</t>
  </si>
  <si>
    <t>RL</t>
  </si>
  <si>
    <t>RH</t>
  </si>
  <si>
    <t>IF(B3&lt;$B$8,$B$8/B6+B16,IF(B3&gt;$B$9,$B$9/B6+B19,B3/B7+B17+B18))</t>
  </si>
  <si>
    <t>IF(B3&lt;B8,B8/B6,IF(B3&gt;B9,B9/B6,B3/B7))</t>
  </si>
  <si>
    <r>
      <t>AC11*R^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1</t>
    </r>
  </si>
  <si>
    <r>
      <t>AC21*R^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1</t>
    </r>
  </si>
  <si>
    <r>
      <t>AC22*R^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2</t>
    </r>
  </si>
  <si>
    <r>
      <t>AC32*R^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</rPr>
      <t>2</t>
    </r>
  </si>
  <si>
    <t>B12+B17+B18</t>
  </si>
  <si>
    <t>(B9/(B9^B14)-B8/(B8^B14))*(B25/B27)</t>
  </si>
  <si>
    <t>(B9/(B9^B15)-B8/(B8^B15))*(B26/B27)</t>
  </si>
  <si>
    <t>0.5*(B5^2)*(B3^2)*B31+(B6-B7)*B3*B30-B6*B11+MIN(MAX(B8,B3),B9)</t>
  </si>
  <si>
    <t>IF(B3&lt;B8,B14*B21*(B3^(B14-1)),IF(B3&gt;B9,B15*B24*(B3^(B15-1)),1/B7+B14*B22*(B3^(B14-1))+B15*B23*(B3^(B15-1))))</t>
  </si>
  <si>
    <t>IF(B3&lt;B8,B14*(B14-1)*B21*(B3^(B14-2)),IF(B3&gt;B9,B15*(B15-1)*B24*(B3^(B15-2)),B14*(B14-1)*B22*(B3^(B14-2))+B15*(B15-1)*B23*(B3^(B15-2))))</t>
  </si>
  <si>
    <t>IF(B8&lt;B3&lt;B9)</t>
  </si>
  <si>
    <t>1/B7+B14*B22*(B3^(B14-1))+B15*B23*(B3^(B15-1))</t>
  </si>
  <si>
    <t>IF(B9&lt;B3)</t>
  </si>
  <si>
    <t>ACTIVE PPP WITH FLOOR ONLY</t>
  </si>
  <si>
    <t>ACTIVE PPP WITH CEILING ONLY</t>
  </si>
  <si>
    <r>
      <t>R/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-K</t>
    </r>
  </si>
  <si>
    <t>FIND R^</t>
  </si>
  <si>
    <t>RL&lt;R&lt;RH</t>
  </si>
  <si>
    <t>F2</t>
  </si>
  <si>
    <t>ACTIVE Floor</t>
  </si>
  <si>
    <t>ACTIVE Ceiling</t>
  </si>
  <si>
    <t>R^ COLLAR</t>
  </si>
  <si>
    <t>F3</t>
  </si>
  <si>
    <t>F4</t>
  </si>
  <si>
    <r>
      <t>ACTIVE COLLAR f(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Times New Roman"/>
        <family val="1"/>
      </rPr>
      <t>R</t>
    </r>
    <r>
      <rPr>
        <sz val="11"/>
        <color theme="1"/>
        <rFont val="Calibri"/>
        <family val="2"/>
        <scheme val="minor"/>
      </rPr>
      <t>)</t>
    </r>
  </si>
  <si>
    <r>
      <t>INVEST COLLAR f(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R)</t>
    </r>
  </si>
  <si>
    <r>
      <t>R^  &amp; R^ Collar f(</t>
    </r>
    <r>
      <rPr>
        <sz val="11"/>
        <color theme="1"/>
        <rFont val="Symbol"/>
        <family val="1"/>
        <charset val="2"/>
      </rPr>
      <t>Ds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</si>
</sst>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ahoma"/>
      <family val="2"/>
    </font>
    <font>
      <sz val="8"/>
      <name val="Arial"/>
      <family val="2"/>
    </font>
    <font>
      <vertAlign val="subscript"/>
      <sz val="10"/>
      <name val="Symbol"/>
      <family val="1"/>
      <charset val="2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</font>
    <font>
      <sz val="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64" fontId="8" fillId="0" borderId="0" xfId="0" applyNumberFormat="1" applyFont="1"/>
    <xf numFmtId="164" fontId="7" fillId="0" borderId="0" xfId="0" applyNumberFormat="1" applyFont="1"/>
    <xf numFmtId="0" fontId="7" fillId="0" borderId="0" xfId="0" applyFont="1"/>
    <xf numFmtId="164" fontId="10" fillId="0" borderId="0" xfId="0" applyNumberFormat="1" applyFont="1"/>
    <xf numFmtId="0" fontId="9" fillId="0" borderId="0" xfId="0" applyFont="1" applyBorder="1"/>
    <xf numFmtId="164" fontId="6" fillId="0" borderId="0" xfId="0" applyNumberFormat="1" applyFont="1"/>
    <xf numFmtId="0" fontId="1" fillId="0" borderId="0" xfId="0" applyFont="1" applyBorder="1"/>
    <xf numFmtId="0" fontId="11" fillId="0" borderId="0" xfId="0" applyFont="1" applyAlignment="1">
      <alignment horizontal="centerContinuous"/>
    </xf>
    <xf numFmtId="3" fontId="0" fillId="0" borderId="0" xfId="0" applyNumberFormat="1"/>
    <xf numFmtId="0" fontId="12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12" fillId="0" borderId="0" xfId="0" applyFont="1"/>
    <xf numFmtId="0" fontId="0" fillId="0" borderId="0" xfId="0" applyBorder="1"/>
    <xf numFmtId="2" fontId="0" fillId="0" borderId="0" xfId="0" applyNumberFormat="1" applyBorder="1"/>
    <xf numFmtId="0" fontId="2" fillId="0" borderId="0" xfId="0" applyFont="1" applyBorder="1"/>
    <xf numFmtId="2" fontId="3" fillId="0" borderId="0" xfId="0" applyNumberFormat="1" applyFont="1" applyBorder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6" fillId="0" borderId="0" xfId="0" applyFont="1" applyBorder="1"/>
    <xf numFmtId="164" fontId="0" fillId="0" borderId="0" xfId="0" applyNumberFormat="1" applyBorder="1"/>
    <xf numFmtId="0" fontId="0" fillId="0" borderId="0" xfId="0" applyFill="1" applyBorder="1"/>
    <xf numFmtId="164" fontId="0" fillId="0" borderId="0" xfId="0" applyNumberFormat="1" applyFont="1"/>
    <xf numFmtId="164" fontId="7" fillId="0" borderId="0" xfId="0" applyNumberFormat="1" applyFont="1" applyBorder="1"/>
    <xf numFmtId="164" fontId="3" fillId="0" borderId="0" xfId="0" applyNumberFormat="1" applyFont="1" applyBorder="1"/>
    <xf numFmtId="2" fontId="7" fillId="0" borderId="0" xfId="0" applyNumberFormat="1" applyFont="1" applyBorder="1"/>
    <xf numFmtId="2" fontId="17" fillId="0" borderId="0" xfId="0" applyNumberFormat="1" applyFont="1" applyBorder="1"/>
    <xf numFmtId="2" fontId="0" fillId="0" borderId="0" xfId="0" applyNumberFormat="1" applyFill="1" applyBorder="1"/>
    <xf numFmtId="164" fontId="18" fillId="0" borderId="0" xfId="0" applyNumberFormat="1" applyFont="1"/>
    <xf numFmtId="3" fontId="18" fillId="0" borderId="0" xfId="0" applyNumberFormat="1" applyFont="1"/>
    <xf numFmtId="3" fontId="10" fillId="0" borderId="0" xfId="0" applyNumberFormat="1" applyFont="1"/>
    <xf numFmtId="0" fontId="0" fillId="0" borderId="1" xfId="0" applyBorder="1"/>
    <xf numFmtId="17" fontId="0" fillId="0" borderId="0" xfId="0" applyNumberFormat="1"/>
    <xf numFmtId="165" fontId="0" fillId="0" borderId="0" xfId="0" applyNumberFormat="1"/>
    <xf numFmtId="1" fontId="7" fillId="0" borderId="0" xfId="0" applyNumberFormat="1" applyFont="1"/>
    <xf numFmtId="164" fontId="19" fillId="0" borderId="0" xfId="0" applyNumberFormat="1" applyFont="1"/>
    <xf numFmtId="164" fontId="2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Collar to Protect Asset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'[1]STATIC COLLAR'!$A$2</c:f>
              <c:strCache>
                <c:ptCount val="1"/>
                <c:pt idx="0">
                  <c:v>OWN ASSET</c:v>
                </c:pt>
              </c:strCache>
            </c:strRef>
          </c:tx>
          <c:cat>
            <c:numRef>
              <c:f>'[1]STATIC COLLAR'!$B$2:$N$2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'[1]STATIC COLLAR'!$B$2:$N$2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C-4367-A9CF-6C9F79DDF600}"/>
            </c:ext>
          </c:extLst>
        </c:ser>
        <c:ser>
          <c:idx val="1"/>
          <c:order val="1"/>
          <c:tx>
            <c:strRef>
              <c:f>'[1]STATIC COLLAR'!$A$3</c:f>
              <c:strCache>
                <c:ptCount val="1"/>
                <c:pt idx="0">
                  <c:v>WRITE REAL CALL AT K2 INTRINSIC </c:v>
                </c:pt>
              </c:strCache>
            </c:strRef>
          </c:tx>
          <c:cat>
            <c:numRef>
              <c:f>'[1]STATIC COLLAR'!$B$2:$N$2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'[1]STATIC COLLAR'!$B$3:$N$3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25</c:v>
                </c:pt>
                <c:pt idx="9">
                  <c:v>0</c:v>
                </c:pt>
                <c:pt idx="10">
                  <c:v>-25</c:v>
                </c:pt>
                <c:pt idx="11">
                  <c:v>-50</c:v>
                </c:pt>
                <c:pt idx="12">
                  <c:v>-75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C-4367-A9CF-6C9F79DDF600}"/>
            </c:ext>
          </c:extLst>
        </c:ser>
        <c:ser>
          <c:idx val="2"/>
          <c:order val="2"/>
          <c:tx>
            <c:strRef>
              <c:f>'[1]STATIC COLLAR'!$A$4</c:f>
              <c:strCache>
                <c:ptCount val="1"/>
                <c:pt idx="0">
                  <c:v>BUY REAL PUT AT K1 INTRINSIC</c:v>
                </c:pt>
              </c:strCache>
            </c:strRef>
          </c:tx>
          <c:cat>
            <c:numRef>
              <c:f>'[1]STATIC COLLAR'!$B$2:$N$2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'[1]STATIC COLLAR'!$B$4:$N$4</c:f>
              <c:numCache>
                <c:formatCode>General</c:formatCode>
                <c:ptCount val="13"/>
                <c:pt idx="0">
                  <c:v>75</c:v>
                </c:pt>
                <c:pt idx="1">
                  <c:v>50</c:v>
                </c:pt>
                <c:pt idx="2">
                  <c:v>25</c:v>
                </c:pt>
                <c:pt idx="3">
                  <c:v>0</c:v>
                </c:pt>
                <c:pt idx="4">
                  <c:v>-25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C-4367-A9CF-6C9F79DDF600}"/>
            </c:ext>
          </c:extLst>
        </c:ser>
        <c:ser>
          <c:idx val="3"/>
          <c:order val="3"/>
          <c:tx>
            <c:strRef>
              <c:f>'[1]STATIC COLLAR'!$A$5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'[1]STATIC COLLAR'!$B$2:$N$2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'[1]STATIC COLLAR'!$B$5:$N$5</c:f>
              <c:numCache>
                <c:formatCode>General</c:formatCode>
                <c:ptCount val="13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C-4367-A9CF-6C9F79DD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2592"/>
        <c:axId val="165424128"/>
      </c:lineChart>
      <c:catAx>
        <c:axId val="1654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24128"/>
        <c:crosses val="autoZero"/>
        <c:auto val="1"/>
        <c:lblAlgn val="ctr"/>
        <c:lblOffset val="100"/>
        <c:noMultiLvlLbl val="0"/>
      </c:catAx>
      <c:valAx>
        <c:axId val="16542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422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Real &amp; Intrinsic</a:t>
            </a:r>
            <a:r>
              <a:rPr lang="en-US" baseline="0"/>
              <a:t> American Perpetual Calls &amp; Puts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'CALL PUT'!$A$18</c:f>
              <c:strCache>
                <c:ptCount val="1"/>
                <c:pt idx="0">
                  <c:v>ROV CALL</c:v>
                </c:pt>
              </c:strCache>
            </c:strRef>
          </c:tx>
          <c:cat>
            <c:numRef>
              <c:f>'CALL PUT'!$B$2:$N$2</c:f>
              <c:numCache>
                <c:formatCode>0.00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PUT'!$B$18:$N$18</c:f>
              <c:numCache>
                <c:formatCode>0.00</c:formatCode>
                <c:ptCount val="13"/>
                <c:pt idx="0">
                  <c:v>0</c:v>
                </c:pt>
                <c:pt idx="1">
                  <c:v>1.0416666666666679</c:v>
                </c:pt>
                <c:pt idx="2">
                  <c:v>4.1666666666666687</c:v>
                </c:pt>
                <c:pt idx="3">
                  <c:v>9.3750000000000036</c:v>
                </c:pt>
                <c:pt idx="4">
                  <c:v>16.666666666666671</c:v>
                </c:pt>
                <c:pt idx="5">
                  <c:v>26.041666666666671</c:v>
                </c:pt>
                <c:pt idx="6">
                  <c:v>37.500000000000007</c:v>
                </c:pt>
                <c:pt idx="7">
                  <c:v>51.041666666666686</c:v>
                </c:pt>
                <c:pt idx="8">
                  <c:v>66.666666666666671</c:v>
                </c:pt>
                <c:pt idx="9">
                  <c:v>84.375000000000014</c:v>
                </c:pt>
                <c:pt idx="10">
                  <c:v>104.16666666666667</c:v>
                </c:pt>
                <c:pt idx="11">
                  <c:v>126.04166666666669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C-4041-BCAF-FDA2ACA59CB0}"/>
            </c:ext>
          </c:extLst>
        </c:ser>
        <c:ser>
          <c:idx val="1"/>
          <c:order val="1"/>
          <c:tx>
            <c:strRef>
              <c:f>'CALL PUT'!$A$19</c:f>
              <c:strCache>
                <c:ptCount val="1"/>
                <c:pt idx="0">
                  <c:v>V-K</c:v>
                </c:pt>
              </c:strCache>
            </c:strRef>
          </c:tx>
          <c:cat>
            <c:numRef>
              <c:f>'CALL PUT'!$B$2:$N$2</c:f>
              <c:numCache>
                <c:formatCode>0.00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PUT'!$B$19:$N$19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C-4041-BCAF-FDA2ACA59CB0}"/>
            </c:ext>
          </c:extLst>
        </c:ser>
        <c:ser>
          <c:idx val="2"/>
          <c:order val="2"/>
          <c:tx>
            <c:strRef>
              <c:f>'CALL PUT'!$A$20</c:f>
              <c:strCache>
                <c:ptCount val="1"/>
                <c:pt idx="0">
                  <c:v>ROC PUT</c:v>
                </c:pt>
              </c:strCache>
            </c:strRef>
          </c:tx>
          <c:cat>
            <c:numRef>
              <c:f>'CALL PUT'!$B$2:$N$2</c:f>
              <c:numCache>
                <c:formatCode>0.00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PUT'!$B$20:$N$20</c:f>
              <c:numCache>
                <c:formatCode>0.00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56.25</c:v>
                </c:pt>
                <c:pt idx="5">
                  <c:v>45.000000000000007</c:v>
                </c:pt>
                <c:pt idx="6">
                  <c:v>37.500000000000007</c:v>
                </c:pt>
                <c:pt idx="7">
                  <c:v>32.142857142857146</c:v>
                </c:pt>
                <c:pt idx="8">
                  <c:v>28.125000000000014</c:v>
                </c:pt>
                <c:pt idx="9">
                  <c:v>25.000000000000007</c:v>
                </c:pt>
                <c:pt idx="10">
                  <c:v>22.500000000000007</c:v>
                </c:pt>
                <c:pt idx="11">
                  <c:v>20.454545454545457</c:v>
                </c:pt>
                <c:pt idx="12">
                  <c:v>18.750000000000004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C-4041-BCAF-FDA2ACA59CB0}"/>
            </c:ext>
          </c:extLst>
        </c:ser>
        <c:ser>
          <c:idx val="3"/>
          <c:order val="3"/>
          <c:tx>
            <c:strRef>
              <c:f>'CALL PUT'!$A$21</c:f>
              <c:strCache>
                <c:ptCount val="1"/>
                <c:pt idx="0">
                  <c:v>K-V</c:v>
                </c:pt>
              </c:strCache>
            </c:strRef>
          </c:tx>
          <c:cat>
            <c:numRef>
              <c:f>'CALL PUT'!$B$2:$N$2</c:f>
              <c:numCache>
                <c:formatCode>0.00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PUT'!$B$21:$N$21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C-4041-BCAF-FDA2ACA5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87104"/>
        <c:axId val="165109760"/>
      </c:lineChart>
      <c:catAx>
        <c:axId val="1650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5109760"/>
        <c:crosses val="autoZero"/>
        <c:auto val="1"/>
        <c:lblAlgn val="ctr"/>
        <c:lblOffset val="100"/>
        <c:noMultiLvlLbl val="0"/>
      </c:catAx>
      <c:valAx>
        <c:axId val="16510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87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ACTIVE VC</a:t>
            </a:r>
            <a:r>
              <a:rPr lang="en-US" baseline="0"/>
              <a:t> AS FUNCTION OF P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'[2]Collar VC'!$A$31</c:f>
              <c:strCache>
                <c:ptCount val="1"/>
                <c:pt idx="0">
                  <c:v>VC PV</c:v>
                </c:pt>
              </c:strCache>
            </c:strRef>
          </c:tx>
          <c:cat>
            <c:numRef>
              <c:f>'[2]Collar VC'!$B$30:$N$30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'[2]Collar VC'!$B$31:$N$31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E-423C-8C3A-EEB932EB52C8}"/>
            </c:ext>
          </c:extLst>
        </c:ser>
        <c:ser>
          <c:idx val="1"/>
          <c:order val="1"/>
          <c:tx>
            <c:strRef>
              <c:f>'[2]Collar VC'!$A$32</c:f>
              <c:strCache>
                <c:ptCount val="1"/>
                <c:pt idx="0">
                  <c:v>VC </c:v>
                </c:pt>
              </c:strCache>
            </c:strRef>
          </c:tx>
          <c:cat>
            <c:numRef>
              <c:f>'[2]Collar VC'!$B$30:$N$30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'[2]Collar VC'!$B$32:$N$32</c:f>
              <c:numCache>
                <c:formatCode>General</c:formatCode>
                <c:ptCount val="13"/>
                <c:pt idx="0">
                  <c:v>100</c:v>
                </c:pt>
                <c:pt idx="1">
                  <c:v>101.78624108600427</c:v>
                </c:pt>
                <c:pt idx="2">
                  <c:v>105.95399701978371</c:v>
                </c:pt>
                <c:pt idx="3">
                  <c:v>112.04112599367356</c:v>
                </c:pt>
                <c:pt idx="4">
                  <c:v>119.84619029836195</c:v>
                </c:pt>
                <c:pt idx="5">
                  <c:v>128.97555149659024</c:v>
                </c:pt>
                <c:pt idx="6">
                  <c:v>138.36883726936372</c:v>
                </c:pt>
                <c:pt idx="7">
                  <c:v>147.37331491517088</c:v>
                </c:pt>
                <c:pt idx="8">
                  <c:v>155.66769822387505</c:v>
                </c:pt>
                <c:pt idx="9">
                  <c:v>163.081392525821</c:v>
                </c:pt>
                <c:pt idx="10">
                  <c:v>169.51990344255483</c:v>
                </c:pt>
                <c:pt idx="11">
                  <c:v>174.97864439063409</c:v>
                </c:pt>
                <c:pt idx="12">
                  <c:v>179.63813869296303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E-423C-8C3A-EEB932EB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26592"/>
        <c:axId val="234536960"/>
      </c:lineChart>
      <c:catAx>
        <c:axId val="2345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4536960"/>
        <c:crosses val="autoZero"/>
        <c:auto val="1"/>
        <c:lblAlgn val="ctr"/>
        <c:lblOffset val="100"/>
        <c:noMultiLvlLbl val="0"/>
      </c:catAx>
      <c:valAx>
        <c:axId val="234536960"/>
        <c:scaling>
          <c:orientation val="minMax"/>
          <c:max val="250"/>
          <c:min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4526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A2'!$A$32</c:f>
              <c:strCache>
                <c:ptCount val="1"/>
                <c:pt idx="0">
                  <c:v>VC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 A2'!$B$30:$N$30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 A2'!$B$32:$N$32</c:f>
              <c:numCache>
                <c:formatCode>0.0000</c:formatCode>
                <c:ptCount val="13"/>
                <c:pt idx="0">
                  <c:v>100</c:v>
                </c:pt>
                <c:pt idx="1">
                  <c:v>101.78624108600427</c:v>
                </c:pt>
                <c:pt idx="2">
                  <c:v>105.95399701978371</c:v>
                </c:pt>
                <c:pt idx="3">
                  <c:v>112.04112599367356</c:v>
                </c:pt>
                <c:pt idx="4">
                  <c:v>119.84619029836195</c:v>
                </c:pt>
                <c:pt idx="5">
                  <c:v>128.97555149659024</c:v>
                </c:pt>
                <c:pt idx="6">
                  <c:v>138.36883726936372</c:v>
                </c:pt>
                <c:pt idx="7">
                  <c:v>147.37331491517088</c:v>
                </c:pt>
                <c:pt idx="8">
                  <c:v>155.66769822387505</c:v>
                </c:pt>
                <c:pt idx="9">
                  <c:v>163.081392525821</c:v>
                </c:pt>
                <c:pt idx="10">
                  <c:v>169.51990344255483</c:v>
                </c:pt>
                <c:pt idx="11">
                  <c:v>174.97864439063409</c:v>
                </c:pt>
                <c:pt idx="12">
                  <c:v>179.63813869296303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9-4C43-A188-5D3996EB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66632"/>
        <c:axId val="479706008"/>
      </c:lineChart>
      <c:catAx>
        <c:axId val="47116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06008"/>
        <c:crosses val="autoZero"/>
        <c:auto val="1"/>
        <c:lblAlgn val="ctr"/>
        <c:lblOffset val="100"/>
        <c:noMultiLvlLbl val="0"/>
      </c:catAx>
      <c:valAx>
        <c:axId val="47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6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</a:t>
            </a:r>
            <a:r>
              <a:rPr lang="en-US" baseline="0"/>
              <a:t> Effect of Changing Price on the INVEST ROV with and without Collar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'[2]P HAT'!$A$33</c:f>
              <c:strCache>
                <c:ptCount val="1"/>
                <c:pt idx="0">
                  <c:v>ROV CALL</c:v>
                </c:pt>
              </c:strCache>
            </c:strRef>
          </c:tx>
          <c:cat>
            <c:numRef>
              <c:f>'[2]P HAT'!$B$32:$N$32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'[2]P HAT'!$B$33:$N$33</c:f>
              <c:numCache>
                <c:formatCode>General</c:formatCode>
                <c:ptCount val="13"/>
                <c:pt idx="0">
                  <c:v>0</c:v>
                </c:pt>
                <c:pt idx="1">
                  <c:v>2.7547336414741639</c:v>
                </c:pt>
                <c:pt idx="2">
                  <c:v>9.1822296666150898</c:v>
                </c:pt>
                <c:pt idx="3">
                  <c:v>18.56977488419637</c:v>
                </c:pt>
                <c:pt idx="4">
                  <c:v>30.606712889071549</c:v>
                </c:pt>
                <c:pt idx="5">
                  <c:v>45.096492214699531</c:v>
                </c:pt>
                <c:pt idx="6">
                  <c:v>61.897794863674804</c:v>
                </c:pt>
                <c:pt idx="7">
                  <c:v>80.901612457306967</c:v>
                </c:pt>
                <c:pt idx="8">
                  <c:v>102.01997857666161</c:v>
                </c:pt>
                <c:pt idx="9">
                  <c:v>125.17963045791781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A-4CA5-8E5E-533F5FBE8430}"/>
            </c:ext>
          </c:extLst>
        </c:ser>
        <c:ser>
          <c:idx val="1"/>
          <c:order val="1"/>
          <c:tx>
            <c:strRef>
              <c:f>'[2]P HAT'!$A$34</c:f>
              <c:strCache>
                <c:ptCount val="1"/>
                <c:pt idx="0">
                  <c:v>ROV COLLAR</c:v>
                </c:pt>
              </c:strCache>
            </c:strRef>
          </c:tx>
          <c:cat>
            <c:numRef>
              <c:f>'[2]P HAT'!$B$32:$N$32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'[2]P HAT'!$B$34:$N$34</c:f>
              <c:numCache>
                <c:formatCode>General</c:formatCode>
                <c:ptCount val="13"/>
                <c:pt idx="0">
                  <c:v>0</c:v>
                </c:pt>
                <c:pt idx="1">
                  <c:v>1.786241086004263</c:v>
                </c:pt>
                <c:pt idx="2">
                  <c:v>5.9539970197837109</c:v>
                </c:pt>
                <c:pt idx="3">
                  <c:v>12.041125993673569</c:v>
                </c:pt>
                <c:pt idx="4">
                  <c:v>19.84619029836195</c:v>
                </c:pt>
                <c:pt idx="5">
                  <c:v>28.975551496590239</c:v>
                </c:pt>
                <c:pt idx="6">
                  <c:v>38.368837269363723</c:v>
                </c:pt>
                <c:pt idx="7">
                  <c:v>47.373314915170894</c:v>
                </c:pt>
                <c:pt idx="8">
                  <c:v>55.66769822387505</c:v>
                </c:pt>
                <c:pt idx="9">
                  <c:v>63.081392525821016</c:v>
                </c:pt>
                <c:pt idx="10">
                  <c:v>69.519903442554835</c:v>
                </c:pt>
                <c:pt idx="11">
                  <c:v>74.930175393728632</c:v>
                </c:pt>
                <c:pt idx="12">
                  <c:v>79.283008213655023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A-4CA5-8E5E-533F5FBE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47264"/>
        <c:axId val="237149184"/>
      </c:lineChart>
      <c:catAx>
        <c:axId val="2371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149184"/>
        <c:crosses val="autoZero"/>
        <c:auto val="1"/>
        <c:lblAlgn val="ctr"/>
        <c:lblOffset val="100"/>
        <c:noMultiLvlLbl val="0"/>
      </c:catAx>
      <c:valAx>
        <c:axId val="23714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147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</a:t>
            </a:r>
            <a:r>
              <a:rPr lang="en-US" baseline="0"/>
              <a:t> Effect of Changing Revenue on INVEST ROV with &amp; without Collar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'[2]P HAT1'!$A$30</c:f>
              <c:strCache>
                <c:ptCount val="1"/>
                <c:pt idx="0">
                  <c:v>ROV CALL</c:v>
                </c:pt>
              </c:strCache>
            </c:strRef>
          </c:tx>
          <c:cat>
            <c:numRef>
              <c:f>'[2]P HAT1'!$B$29:$V$29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'[2]P HAT1'!$B$30:$V$30</c:f>
              <c:numCache>
                <c:formatCode>General</c:formatCode>
                <c:ptCount val="21"/>
                <c:pt idx="0">
                  <c:v>0</c:v>
                </c:pt>
                <c:pt idx="1">
                  <c:v>2.7547336414741639</c:v>
                </c:pt>
                <c:pt idx="2">
                  <c:v>9.1822296666150898</c:v>
                </c:pt>
                <c:pt idx="3">
                  <c:v>18.56977488419637</c:v>
                </c:pt>
                <c:pt idx="4">
                  <c:v>30.606712889071549</c:v>
                </c:pt>
                <c:pt idx="5">
                  <c:v>45.096492214699531</c:v>
                </c:pt>
                <c:pt idx="6">
                  <c:v>61.897794863674804</c:v>
                </c:pt>
                <c:pt idx="7">
                  <c:v>80.901612457306967</c:v>
                </c:pt>
                <c:pt idx="8">
                  <c:v>102.01997857666161</c:v>
                </c:pt>
                <c:pt idx="9">
                  <c:v>125.17963045791781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  <c:pt idx="13">
                  <c:v>225</c:v>
                </c:pt>
                <c:pt idx="14">
                  <c:v>250</c:v>
                </c:pt>
                <c:pt idx="15">
                  <c:v>275</c:v>
                </c:pt>
                <c:pt idx="16">
                  <c:v>300</c:v>
                </c:pt>
                <c:pt idx="17">
                  <c:v>325</c:v>
                </c:pt>
                <c:pt idx="18">
                  <c:v>350</c:v>
                </c:pt>
                <c:pt idx="19">
                  <c:v>375</c:v>
                </c:pt>
                <c:pt idx="2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8CC-91B1-D91F2066780E}"/>
            </c:ext>
          </c:extLst>
        </c:ser>
        <c:ser>
          <c:idx val="1"/>
          <c:order val="1"/>
          <c:tx>
            <c:strRef>
              <c:f>'[2]P HAT1'!$A$31</c:f>
              <c:strCache>
                <c:ptCount val="1"/>
                <c:pt idx="0">
                  <c:v>ROV COLLAR</c:v>
                </c:pt>
              </c:strCache>
            </c:strRef>
          </c:tx>
          <c:cat>
            <c:numRef>
              <c:f>'[2]P HAT1'!$B$29:$V$29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'[2]P HAT1'!$B$31:$V$31</c:f>
              <c:numCache>
                <c:formatCode>General</c:formatCode>
                <c:ptCount val="21"/>
                <c:pt idx="0">
                  <c:v>0</c:v>
                </c:pt>
                <c:pt idx="1">
                  <c:v>2.5270006893962709</c:v>
                </c:pt>
                <c:pt idx="2">
                  <c:v>8.4231376668831537</c:v>
                </c:pt>
                <c:pt idx="3">
                  <c:v>17.03461751357781</c:v>
                </c:pt>
                <c:pt idx="4">
                  <c:v>28.076465690326494</c:v>
                </c:pt>
                <c:pt idx="5">
                  <c:v>41.102190233776788</c:v>
                </c:pt>
                <c:pt idx="6">
                  <c:v>55.013417813825626</c:v>
                </c:pt>
                <c:pt idx="7">
                  <c:v>69.128102911871167</c:v>
                </c:pt>
                <c:pt idx="8">
                  <c:v>83.10130477324266</c:v>
                </c:pt>
                <c:pt idx="9">
                  <c:v>96.742728059206001</c:v>
                </c:pt>
                <c:pt idx="10">
                  <c:v>109.94108256945248</c:v>
                </c:pt>
                <c:pt idx="11">
                  <c:v>122.62873282370953</c:v>
                </c:pt>
                <c:pt idx="12">
                  <c:v>134.76363943066625</c:v>
                </c:pt>
                <c:pt idx="13">
                  <c:v>146.31947723212213</c:v>
                </c:pt>
                <c:pt idx="14">
                  <c:v>157.27992397485264</c:v>
                </c:pt>
                <c:pt idx="15">
                  <c:v>167.63520950189886</c:v>
                </c:pt>
                <c:pt idx="16">
                  <c:v>177.37995293603757</c:v>
                </c:pt>
                <c:pt idx="17">
                  <c:v>186.51176499571116</c:v>
                </c:pt>
                <c:pt idx="18">
                  <c:v>195.03032118493246</c:v>
                </c:pt>
                <c:pt idx="19">
                  <c:v>202.93673366735644</c:v>
                </c:pt>
                <c:pt idx="20">
                  <c:v>210.23311761878492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8CC-91B1-D91F2066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09856"/>
        <c:axId val="237228416"/>
      </c:lineChart>
      <c:catAx>
        <c:axId val="2372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228416"/>
        <c:crosses val="autoZero"/>
        <c:auto val="1"/>
        <c:lblAlgn val="ctr"/>
        <c:lblOffset val="100"/>
        <c:noMultiLvlLbl val="0"/>
      </c:catAx>
      <c:valAx>
        <c:axId val="2372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20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R^</a:t>
            </a:r>
            <a:r>
              <a:rPr lang="en-US" baseline="0"/>
              <a:t> Vega with &amp; without Collar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'[2]ROV VEGA'!$A$32</c:f>
              <c:strCache>
                <c:ptCount val="1"/>
                <c:pt idx="0">
                  <c:v>P^ COLLAR</c:v>
                </c:pt>
              </c:strCache>
            </c:strRef>
          </c:tx>
          <c:cat>
            <c:numRef>
              <c:f>'[2]ROV VEGA'!$B$29:$L$29</c:f>
              <c:numCache>
                <c:formatCode>General</c:formatCode>
                <c:ptCount val="1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cat>
          <c:val>
            <c:numRef>
              <c:f>'[2]ROV VEGA'!$B$32:$L$32</c:f>
              <c:numCache>
                <c:formatCode>General</c:formatCode>
                <c:ptCount val="11"/>
                <c:pt idx="0">
                  <c:v>4.1439298137380165</c:v>
                </c:pt>
                <c:pt idx="1">
                  <c:v>4.7167588515734042</c:v>
                </c:pt>
                <c:pt idx="2">
                  <c:v>5.368101290534594</c:v>
                </c:pt>
                <c:pt idx="3">
                  <c:v>6.0008141367905132</c:v>
                </c:pt>
                <c:pt idx="4">
                  <c:v>6.6457513110645907</c:v>
                </c:pt>
                <c:pt idx="5">
                  <c:v>7.3177692836710477</c:v>
                </c:pt>
                <c:pt idx="6">
                  <c:v>8.025351240826236</c:v>
                </c:pt>
                <c:pt idx="7">
                  <c:v>8.7738870628281571</c:v>
                </c:pt>
                <c:pt idx="8">
                  <c:v>9.5670402700416517</c:v>
                </c:pt>
                <c:pt idx="9">
                  <c:v>10.407419910689224</c:v>
                </c:pt>
                <c:pt idx="10">
                  <c:v>11.296952361582733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B-410B-91FB-54A7509CA819}"/>
            </c:ext>
          </c:extLst>
        </c:ser>
        <c:ser>
          <c:idx val="1"/>
          <c:order val="1"/>
          <c:tx>
            <c:strRef>
              <c:f>'[2]ROV VEGA'!$A$33</c:f>
              <c:strCache>
                <c:ptCount val="1"/>
                <c:pt idx="0">
                  <c:v>P^</c:v>
                </c:pt>
              </c:strCache>
            </c:strRef>
          </c:tx>
          <c:cat>
            <c:numRef>
              <c:f>'[2]ROV VEGA'!$B$29:$L$29</c:f>
              <c:numCache>
                <c:formatCode>General</c:formatCode>
                <c:ptCount val="1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cat>
          <c:val>
            <c:numRef>
              <c:f>'[2]ROV VEGA'!$B$33:$L$33</c:f>
              <c:numCache>
                <c:formatCode>General</c:formatCode>
                <c:ptCount val="11"/>
                <c:pt idx="0">
                  <c:v>4.1439434515981564</c:v>
                </c:pt>
                <c:pt idx="1">
                  <c:v>4.7723635432250342</c:v>
                </c:pt>
                <c:pt idx="2">
                  <c:v>5.6861406616345072</c:v>
                </c:pt>
                <c:pt idx="3">
                  <c:v>6.7571312332599307</c:v>
                </c:pt>
                <c:pt idx="4">
                  <c:v>8</c:v>
                </c:pt>
                <c:pt idx="5">
                  <c:v>9.4279115240165563</c:v>
                </c:pt>
                <c:pt idx="6">
                  <c:v>11.052343178074636</c:v>
                </c:pt>
                <c:pt idx="7">
                  <c:v>12.883058929346904</c:v>
                </c:pt>
                <c:pt idx="8">
                  <c:v>14.928203230275503</c:v>
                </c:pt>
                <c:pt idx="9">
                  <c:v>17.194468165825533</c:v>
                </c:pt>
                <c:pt idx="10">
                  <c:v>19.687293044088435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B-410B-91FB-54A7509C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36896"/>
        <c:axId val="245938816"/>
      </c:lineChart>
      <c:catAx>
        <c:axId val="245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R Volatility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5938816"/>
        <c:crosses val="autoZero"/>
        <c:auto val="1"/>
        <c:lblAlgn val="ctr"/>
        <c:lblOffset val="100"/>
        <c:noMultiLvlLbl val="0"/>
      </c:catAx>
      <c:valAx>
        <c:axId val="2459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936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ROV</a:t>
            </a:r>
            <a:r>
              <a:rPr lang="en-US" baseline="0"/>
              <a:t> Vega with &amp; without Collar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'[2]ROV VEGA'!$A$30</c:f>
              <c:strCache>
                <c:ptCount val="1"/>
                <c:pt idx="0">
                  <c:v>ROV CALL</c:v>
                </c:pt>
              </c:strCache>
            </c:strRef>
          </c:tx>
          <c:cat>
            <c:numRef>
              <c:f>'[2]ROV VEGA'!$B$29:$L$29</c:f>
              <c:numCache>
                <c:formatCode>General</c:formatCode>
                <c:ptCount val="1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cat>
          <c:val>
            <c:numRef>
              <c:f>'[2]ROV VEGA'!$B$30:$L$30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51.512166498492505</c:v>
                </c:pt>
                <c:pt idx="4">
                  <c:v>56.250000000000028</c:v>
                </c:pt>
                <c:pt idx="5">
                  <c:v>61.897794863674804</c:v>
                </c:pt>
                <c:pt idx="6">
                  <c:v>67.685206880039615</c:v>
                </c:pt>
                <c:pt idx="7">
                  <c:v>73.315586357012805</c:v>
                </c:pt>
                <c:pt idx="8">
                  <c:v>78.657298298551638</c:v>
                </c:pt>
                <c:pt idx="9">
                  <c:v>83.652609579043784</c:v>
                </c:pt>
                <c:pt idx="10">
                  <c:v>88.282158627870189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A-4ACA-AE69-68D15D205D57}"/>
            </c:ext>
          </c:extLst>
        </c:ser>
        <c:ser>
          <c:idx val="1"/>
          <c:order val="1"/>
          <c:tx>
            <c:strRef>
              <c:f>'[2]ROV VEGA'!$A$31</c:f>
              <c:strCache>
                <c:ptCount val="1"/>
                <c:pt idx="0">
                  <c:v>ROV COLLAR</c:v>
                </c:pt>
              </c:strCache>
            </c:strRef>
          </c:tx>
          <c:cat>
            <c:numRef>
              <c:f>'[2]ROV VEGA'!$B$29:$L$29</c:f>
              <c:numCache>
                <c:formatCode>General</c:formatCode>
                <c:ptCount val="1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cat>
          <c:val>
            <c:numRef>
              <c:f>'[2]ROV VEGA'!$B$31:$L$31</c:f>
              <c:numCache>
                <c:formatCode>General</c:formatCode>
                <c:ptCount val="11"/>
                <c:pt idx="0">
                  <c:v>50.000000005717276</c:v>
                </c:pt>
                <c:pt idx="1">
                  <c:v>50.182288658050055</c:v>
                </c:pt>
                <c:pt idx="2">
                  <c:v>52.520876893966346</c:v>
                </c:pt>
                <c:pt idx="3">
                  <c:v>56.969400522409863</c:v>
                </c:pt>
                <c:pt idx="4">
                  <c:v>62.513030944089863</c:v>
                </c:pt>
                <c:pt idx="5">
                  <c:v>67.552725287176798</c:v>
                </c:pt>
                <c:pt idx="6">
                  <c:v>70.823988329947554</c:v>
                </c:pt>
                <c:pt idx="7">
                  <c:v>72.033846407453652</c:v>
                </c:pt>
                <c:pt idx="8">
                  <c:v>71.398840869184724</c:v>
                </c:pt>
                <c:pt idx="9">
                  <c:v>69.339241956771744</c:v>
                </c:pt>
                <c:pt idx="10">
                  <c:v>66.299048603545998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A-4ACA-AE69-68D15D20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0416"/>
        <c:axId val="87106688"/>
      </c:lineChart>
      <c:catAx>
        <c:axId val="8710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</a:t>
                </a:r>
                <a:r>
                  <a:rPr lang="en-US" baseline="0"/>
                  <a:t> Volatility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06688"/>
        <c:crosses val="autoZero"/>
        <c:auto val="1"/>
        <c:lblAlgn val="ctr"/>
        <c:lblOffset val="100"/>
        <c:noMultiLvlLbl val="0"/>
      </c:catAx>
      <c:valAx>
        <c:axId val="87106688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00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28574</xdr:rowOff>
    </xdr:from>
    <xdr:to>
      <xdr:col>13</xdr:col>
      <xdr:colOff>581025</xdr:colOff>
      <xdr:row>31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190499</xdr:rowOff>
    </xdr:from>
    <xdr:to>
      <xdr:col>14</xdr:col>
      <xdr:colOff>9525</xdr:colOff>
      <xdr:row>40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0</xdr:rowOff>
    </xdr:from>
    <xdr:to>
      <xdr:col>13</xdr:col>
      <xdr:colOff>600075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511175</xdr:colOff>
      <xdr:row>14</xdr:row>
      <xdr:rowOff>174625</xdr:rowOff>
    </xdr:from>
    <xdr:to>
      <xdr:col>12</xdr:col>
      <xdr:colOff>549275</xdr:colOff>
      <xdr:row>29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43D1B-70A2-4B08-8112-302C2D25C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19050</xdr:rowOff>
    </xdr:from>
    <xdr:to>
      <xdr:col>13</xdr:col>
      <xdr:colOff>609600</xdr:colOff>
      <xdr:row>49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38099</xdr:rowOff>
    </xdr:from>
    <xdr:to>
      <xdr:col>21</xdr:col>
      <xdr:colOff>561975</xdr:colOff>
      <xdr:row>57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0</xdr:rowOff>
    </xdr:from>
    <xdr:to>
      <xdr:col>11</xdr:col>
      <xdr:colOff>561975</xdr:colOff>
      <xdr:row>50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51</xdr:row>
      <xdr:rowOff>19050</xdr:rowOff>
    </xdr:from>
    <xdr:to>
      <xdr:col>12</xdr:col>
      <xdr:colOff>0</xdr:colOff>
      <xdr:row>69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an%20Paxson/Documents/RealOptions%20in%20Practice%2016/RealOptions16/ZZZZRO%20in%20Lisbon%20Late/Col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an%20Paxson/Documents/RealOptions%20in%20Practice%2016/RO%20in%20Lisbon%202016/ROV%20CH%2014%20INCENTIVES%20%2031%20MAR%202016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"/>
      <sheetName val="Put"/>
      <sheetName val="Collar"/>
      <sheetName val="STATIC COLLAR"/>
    </sheetNames>
    <sheetDataSet>
      <sheetData sheetId="0"/>
      <sheetData sheetId="1"/>
      <sheetData sheetId="2">
        <row r="2">
          <cell r="B2">
            <v>0</v>
          </cell>
        </row>
      </sheetData>
      <sheetData sheetId="3">
        <row r="2">
          <cell r="A2" t="str">
            <v>OWN ASSET</v>
          </cell>
          <cell r="B2">
            <v>0</v>
          </cell>
          <cell r="C2">
            <v>25</v>
          </cell>
          <cell r="D2">
            <v>50</v>
          </cell>
          <cell r="E2">
            <v>75</v>
          </cell>
          <cell r="F2">
            <v>100</v>
          </cell>
          <cell r="G2">
            <v>125</v>
          </cell>
          <cell r="H2">
            <v>150</v>
          </cell>
          <cell r="I2">
            <v>175</v>
          </cell>
          <cell r="J2">
            <v>200</v>
          </cell>
          <cell r="K2">
            <v>225</v>
          </cell>
          <cell r="L2">
            <v>250</v>
          </cell>
          <cell r="M2">
            <v>275</v>
          </cell>
          <cell r="N2">
            <v>300</v>
          </cell>
        </row>
        <row r="3">
          <cell r="A3" t="str">
            <v xml:space="preserve">WRITE REAL CALL AT K2 INTRINSIC </v>
          </cell>
          <cell r="B3">
            <v>50</v>
          </cell>
          <cell r="C3">
            <v>50</v>
          </cell>
          <cell r="D3">
            <v>50</v>
          </cell>
          <cell r="E3">
            <v>50</v>
          </cell>
          <cell r="F3">
            <v>50</v>
          </cell>
          <cell r="G3">
            <v>50</v>
          </cell>
          <cell r="H3">
            <v>50</v>
          </cell>
          <cell r="I3">
            <v>50</v>
          </cell>
          <cell r="J3">
            <v>25</v>
          </cell>
          <cell r="K3">
            <v>0</v>
          </cell>
          <cell r="L3">
            <v>-25</v>
          </cell>
          <cell r="M3">
            <v>-50</v>
          </cell>
          <cell r="N3">
            <v>-75</v>
          </cell>
        </row>
        <row r="4">
          <cell r="A4" t="str">
            <v>BUY REAL PUT AT K1 INTRINSIC</v>
          </cell>
          <cell r="B4">
            <v>75</v>
          </cell>
          <cell r="C4">
            <v>50</v>
          </cell>
          <cell r="D4">
            <v>25</v>
          </cell>
          <cell r="E4">
            <v>0</v>
          </cell>
          <cell r="F4">
            <v>-25</v>
          </cell>
          <cell r="G4">
            <v>-50</v>
          </cell>
          <cell r="H4">
            <v>-50</v>
          </cell>
          <cell r="I4">
            <v>-50</v>
          </cell>
          <cell r="J4">
            <v>-50</v>
          </cell>
          <cell r="K4">
            <v>-50</v>
          </cell>
          <cell r="L4">
            <v>-50</v>
          </cell>
          <cell r="M4">
            <v>-50</v>
          </cell>
          <cell r="N4">
            <v>-50</v>
          </cell>
        </row>
        <row r="5">
          <cell r="A5" t="str">
            <v>STRATEGY RESULT</v>
          </cell>
          <cell r="B5">
            <v>125</v>
          </cell>
          <cell r="C5">
            <v>125</v>
          </cell>
          <cell r="D5">
            <v>125</v>
          </cell>
          <cell r="E5">
            <v>125</v>
          </cell>
          <cell r="F5">
            <v>125</v>
          </cell>
          <cell r="G5">
            <v>125</v>
          </cell>
          <cell r="H5">
            <v>150</v>
          </cell>
          <cell r="I5">
            <v>175</v>
          </cell>
          <cell r="J5">
            <v>175</v>
          </cell>
          <cell r="K5">
            <v>175</v>
          </cell>
          <cell r="L5">
            <v>175</v>
          </cell>
          <cell r="M5">
            <v>175</v>
          </cell>
          <cell r="N5">
            <v>175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M1"/>
      <sheetName val="M2"/>
      <sheetName val="M3B"/>
      <sheetName val="M3A"/>
      <sheetName val="M4"/>
      <sheetName val="M4 Vega"/>
      <sheetName val="M5"/>
      <sheetName val="M6"/>
      <sheetName val="STATIC COLLAR"/>
      <sheetName val="CALL PUT"/>
      <sheetName val="Figure 8"/>
      <sheetName val="Collar VC"/>
      <sheetName val="Collar RA FC"/>
      <sheetName val="Figure 10"/>
      <sheetName val="P HAT"/>
      <sheetName val="P HAT1"/>
      <sheetName val="ROV VEGA"/>
      <sheetName val="REFLEC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</v>
          </cell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  <cell r="H30">
            <v>6</v>
          </cell>
          <cell r="I30">
            <v>7</v>
          </cell>
          <cell r="J30">
            <v>8</v>
          </cell>
          <cell r="K30">
            <v>9</v>
          </cell>
          <cell r="L30">
            <v>10</v>
          </cell>
          <cell r="M30">
            <v>11</v>
          </cell>
          <cell r="N30">
            <v>12</v>
          </cell>
        </row>
        <row r="31">
          <cell r="A31" t="str">
            <v>VC PV</v>
          </cell>
          <cell r="B31">
            <v>100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125</v>
          </cell>
          <cell r="H31">
            <v>150</v>
          </cell>
          <cell r="I31">
            <v>175</v>
          </cell>
          <cell r="J31">
            <v>200</v>
          </cell>
          <cell r="K31">
            <v>225</v>
          </cell>
          <cell r="L31">
            <v>250</v>
          </cell>
          <cell r="M31">
            <v>250</v>
          </cell>
          <cell r="N31">
            <v>250</v>
          </cell>
        </row>
        <row r="32">
          <cell r="A32" t="str">
            <v xml:space="preserve">VC </v>
          </cell>
          <cell r="B32">
            <v>100</v>
          </cell>
          <cell r="C32">
            <v>101.78624108600427</v>
          </cell>
          <cell r="D32">
            <v>105.95399701978371</v>
          </cell>
          <cell r="E32">
            <v>112.04112599367356</v>
          </cell>
          <cell r="F32">
            <v>119.84619029836195</v>
          </cell>
          <cell r="G32">
            <v>128.97555149659024</v>
          </cell>
          <cell r="H32">
            <v>138.36883726936372</v>
          </cell>
          <cell r="I32">
            <v>147.37331491517088</v>
          </cell>
          <cell r="J32">
            <v>155.66769822387505</v>
          </cell>
          <cell r="K32">
            <v>163.081392525821</v>
          </cell>
          <cell r="L32">
            <v>169.51990344255483</v>
          </cell>
          <cell r="M32">
            <v>174.97864439063409</v>
          </cell>
          <cell r="N32">
            <v>179.63813869296303</v>
          </cell>
        </row>
      </sheetData>
      <sheetData sheetId="13"/>
      <sheetData sheetId="14"/>
      <sheetData sheetId="15">
        <row r="32">
          <cell r="B32">
            <v>0</v>
          </cell>
          <cell r="C32">
            <v>1</v>
          </cell>
          <cell r="D32">
            <v>2</v>
          </cell>
          <cell r="E32">
            <v>3</v>
          </cell>
          <cell r="F32">
            <v>4</v>
          </cell>
          <cell r="G32">
            <v>5</v>
          </cell>
          <cell r="H32">
            <v>6</v>
          </cell>
          <cell r="I32">
            <v>7</v>
          </cell>
          <cell r="J32">
            <v>8</v>
          </cell>
          <cell r="K32">
            <v>9</v>
          </cell>
          <cell r="L32">
            <v>10</v>
          </cell>
          <cell r="M32">
            <v>11</v>
          </cell>
          <cell r="N32">
            <v>12</v>
          </cell>
        </row>
        <row r="33">
          <cell r="A33" t="str">
            <v>ROV CALL</v>
          </cell>
          <cell r="B33">
            <v>0</v>
          </cell>
          <cell r="C33">
            <v>2.7547336414741639</v>
          </cell>
          <cell r="D33">
            <v>9.1822296666150898</v>
          </cell>
          <cell r="E33">
            <v>18.56977488419637</v>
          </cell>
          <cell r="F33">
            <v>30.606712889071549</v>
          </cell>
          <cell r="G33">
            <v>45.096492214699531</v>
          </cell>
          <cell r="H33">
            <v>61.897794863674804</v>
          </cell>
          <cell r="I33">
            <v>80.901612457306967</v>
          </cell>
          <cell r="J33">
            <v>102.01997857666161</v>
          </cell>
          <cell r="K33">
            <v>125.17963045791781</v>
          </cell>
          <cell r="L33">
            <v>150</v>
          </cell>
          <cell r="M33">
            <v>175</v>
          </cell>
          <cell r="N33">
            <v>200</v>
          </cell>
        </row>
        <row r="34">
          <cell r="A34" t="str">
            <v>ROV COLLAR</v>
          </cell>
          <cell r="B34">
            <v>0</v>
          </cell>
          <cell r="C34">
            <v>1.786241086004263</v>
          </cell>
          <cell r="D34">
            <v>5.9539970197837109</v>
          </cell>
          <cell r="E34">
            <v>12.041125993673569</v>
          </cell>
          <cell r="F34">
            <v>19.84619029836195</v>
          </cell>
          <cell r="G34">
            <v>28.975551496590239</v>
          </cell>
          <cell r="H34">
            <v>38.368837269363723</v>
          </cell>
          <cell r="I34">
            <v>47.373314915170894</v>
          </cell>
          <cell r="J34">
            <v>55.66769822387505</v>
          </cell>
          <cell r="K34">
            <v>63.081392525821016</v>
          </cell>
          <cell r="L34">
            <v>69.519903442554835</v>
          </cell>
          <cell r="M34">
            <v>74.930175393728632</v>
          </cell>
          <cell r="N34">
            <v>79.283008213655023</v>
          </cell>
        </row>
      </sheetData>
      <sheetData sheetId="16">
        <row r="29">
          <cell r="B29">
            <v>0</v>
          </cell>
          <cell r="C29">
            <v>1</v>
          </cell>
          <cell r="D29">
            <v>2</v>
          </cell>
          <cell r="E29">
            <v>3</v>
          </cell>
          <cell r="F29">
            <v>4</v>
          </cell>
          <cell r="G29">
            <v>5</v>
          </cell>
          <cell r="H29">
            <v>6</v>
          </cell>
          <cell r="I29">
            <v>7</v>
          </cell>
          <cell r="J29">
            <v>8</v>
          </cell>
          <cell r="K29">
            <v>9</v>
          </cell>
          <cell r="L29">
            <v>10</v>
          </cell>
          <cell r="M29">
            <v>11</v>
          </cell>
          <cell r="N29">
            <v>12</v>
          </cell>
          <cell r="O29">
            <v>13</v>
          </cell>
          <cell r="P29">
            <v>14</v>
          </cell>
          <cell r="Q29">
            <v>15</v>
          </cell>
          <cell r="R29">
            <v>16</v>
          </cell>
          <cell r="S29">
            <v>17</v>
          </cell>
          <cell r="T29">
            <v>18</v>
          </cell>
          <cell r="U29">
            <v>19</v>
          </cell>
          <cell r="V29">
            <v>20</v>
          </cell>
        </row>
        <row r="30">
          <cell r="A30" t="str">
            <v>ROV CALL</v>
          </cell>
          <cell r="B30">
            <v>0</v>
          </cell>
          <cell r="C30">
            <v>2.7547336414741639</v>
          </cell>
          <cell r="D30">
            <v>9.1822296666150898</v>
          </cell>
          <cell r="E30">
            <v>18.56977488419637</v>
          </cell>
          <cell r="F30">
            <v>30.606712889071549</v>
          </cell>
          <cell r="G30">
            <v>45.096492214699531</v>
          </cell>
          <cell r="H30">
            <v>61.897794863674804</v>
          </cell>
          <cell r="I30">
            <v>80.901612457306967</v>
          </cell>
          <cell r="J30">
            <v>102.01997857666161</v>
          </cell>
          <cell r="K30">
            <v>125.17963045791781</v>
          </cell>
          <cell r="L30">
            <v>150</v>
          </cell>
          <cell r="M30">
            <v>175</v>
          </cell>
          <cell r="N30">
            <v>200</v>
          </cell>
          <cell r="O30">
            <v>225</v>
          </cell>
          <cell r="P30">
            <v>250</v>
          </cell>
          <cell r="Q30">
            <v>275</v>
          </cell>
          <cell r="R30">
            <v>300</v>
          </cell>
          <cell r="S30">
            <v>325</v>
          </cell>
          <cell r="T30">
            <v>350</v>
          </cell>
          <cell r="U30">
            <v>375</v>
          </cell>
          <cell r="V30">
            <v>400</v>
          </cell>
        </row>
        <row r="31">
          <cell r="A31" t="str">
            <v>ROV COLLAR</v>
          </cell>
          <cell r="B31">
            <v>0</v>
          </cell>
          <cell r="C31">
            <v>2.5270006893962709</v>
          </cell>
          <cell r="D31">
            <v>8.4231376668831537</v>
          </cell>
          <cell r="E31">
            <v>17.03461751357781</v>
          </cell>
          <cell r="F31">
            <v>28.076465690326494</v>
          </cell>
          <cell r="G31">
            <v>41.102190233776788</v>
          </cell>
          <cell r="H31">
            <v>55.013417813825626</v>
          </cell>
          <cell r="I31">
            <v>69.128102911871167</v>
          </cell>
          <cell r="J31">
            <v>83.10130477324266</v>
          </cell>
          <cell r="K31">
            <v>96.742728059206001</v>
          </cell>
          <cell r="L31">
            <v>109.94108256945248</v>
          </cell>
          <cell r="M31">
            <v>122.62873282370953</v>
          </cell>
          <cell r="N31">
            <v>134.76363943066625</v>
          </cell>
          <cell r="O31">
            <v>146.31947723212213</v>
          </cell>
          <cell r="P31">
            <v>157.27992397485264</v>
          </cell>
          <cell r="Q31">
            <v>167.63520950189886</v>
          </cell>
          <cell r="R31">
            <v>177.37995293603757</v>
          </cell>
          <cell r="S31">
            <v>186.51176499571116</v>
          </cell>
          <cell r="T31">
            <v>195.03032118493246</v>
          </cell>
          <cell r="U31">
            <v>202.93673366735644</v>
          </cell>
          <cell r="V31">
            <v>210.23311761878492</v>
          </cell>
        </row>
      </sheetData>
      <sheetData sheetId="17">
        <row r="29">
          <cell r="B29">
            <v>0.01</v>
          </cell>
          <cell r="C29">
            <v>0.05</v>
          </cell>
          <cell r="D29">
            <v>0.1</v>
          </cell>
          <cell r="E29">
            <v>0.15000000000000002</v>
          </cell>
          <cell r="F29">
            <v>0.2</v>
          </cell>
          <cell r="G29">
            <v>0.25</v>
          </cell>
          <cell r="H29">
            <v>0.3</v>
          </cell>
          <cell r="I29">
            <v>0.35</v>
          </cell>
          <cell r="J29">
            <v>0.39999999999999997</v>
          </cell>
          <cell r="K29">
            <v>0.44999999999999996</v>
          </cell>
          <cell r="L29">
            <v>0.49999999999999994</v>
          </cell>
        </row>
        <row r="30">
          <cell r="A30" t="str">
            <v>ROV CALL</v>
          </cell>
          <cell r="B30">
            <v>50</v>
          </cell>
          <cell r="C30">
            <v>50</v>
          </cell>
          <cell r="D30">
            <v>50</v>
          </cell>
          <cell r="E30">
            <v>51.512166498492505</v>
          </cell>
          <cell r="F30">
            <v>56.250000000000028</v>
          </cell>
          <cell r="G30">
            <v>61.897794863674804</v>
          </cell>
          <cell r="H30">
            <v>67.685206880039615</v>
          </cell>
          <cell r="I30">
            <v>73.315586357012805</v>
          </cell>
          <cell r="J30">
            <v>78.657298298551638</v>
          </cell>
          <cell r="K30">
            <v>83.652609579043784</v>
          </cell>
          <cell r="L30">
            <v>88.282158627870189</v>
          </cell>
        </row>
        <row r="31">
          <cell r="A31" t="str">
            <v>ROV COLLAR</v>
          </cell>
          <cell r="B31">
            <v>50.000000005717276</v>
          </cell>
          <cell r="C31">
            <v>50.182288658050055</v>
          </cell>
          <cell r="D31">
            <v>52.520876893966346</v>
          </cell>
          <cell r="E31">
            <v>56.969400522409863</v>
          </cell>
          <cell r="F31">
            <v>62.513030944089863</v>
          </cell>
          <cell r="G31">
            <v>67.552725287176798</v>
          </cell>
          <cell r="H31">
            <v>70.823988329947554</v>
          </cell>
          <cell r="I31">
            <v>72.033846407453652</v>
          </cell>
          <cell r="J31">
            <v>71.398840869184724</v>
          </cell>
          <cell r="K31">
            <v>69.339241956771744</v>
          </cell>
          <cell r="L31">
            <v>66.299048603545998</v>
          </cell>
        </row>
        <row r="32">
          <cell r="A32" t="str">
            <v>P^ COLLAR</v>
          </cell>
          <cell r="B32">
            <v>4.1439298137380165</v>
          </cell>
          <cell r="C32">
            <v>4.7167588515734042</v>
          </cell>
          <cell r="D32">
            <v>5.368101290534594</v>
          </cell>
          <cell r="E32">
            <v>6.0008141367905132</v>
          </cell>
          <cell r="F32">
            <v>6.6457513110645907</v>
          </cell>
          <cell r="G32">
            <v>7.3177692836710477</v>
          </cell>
          <cell r="H32">
            <v>8.025351240826236</v>
          </cell>
          <cell r="I32">
            <v>8.7738870628281571</v>
          </cell>
          <cell r="J32">
            <v>9.5670402700416517</v>
          </cell>
          <cell r="K32">
            <v>10.407419910689224</v>
          </cell>
          <cell r="L32">
            <v>11.296952361582733</v>
          </cell>
        </row>
        <row r="33">
          <cell r="A33" t="str">
            <v>P^</v>
          </cell>
          <cell r="B33">
            <v>4.1439434515981564</v>
          </cell>
          <cell r="C33">
            <v>4.7723635432250342</v>
          </cell>
          <cell r="D33">
            <v>5.6861406616345072</v>
          </cell>
          <cell r="E33">
            <v>6.7571312332599307</v>
          </cell>
          <cell r="F33">
            <v>8</v>
          </cell>
          <cell r="G33">
            <v>9.4279115240165563</v>
          </cell>
          <cell r="H33">
            <v>11.052343178074636</v>
          </cell>
          <cell r="I33">
            <v>12.883058929346904</v>
          </cell>
          <cell r="J33">
            <v>14.928203230275503</v>
          </cell>
          <cell r="K33">
            <v>17.194468165825533</v>
          </cell>
          <cell r="L33">
            <v>19.687293044088435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4.5" x14ac:dyDescent="0.35"/>
  <cols>
    <col min="1" max="1" width="13.453125" customWidth="1"/>
    <col min="2" max="2" width="25.6328125" customWidth="1"/>
  </cols>
  <sheetData>
    <row r="1" spans="1:13" x14ac:dyDescent="0.35">
      <c r="A1" s="6" t="s">
        <v>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x14ac:dyDescent="0.35">
      <c r="A3" s="35" t="s">
        <v>96</v>
      </c>
      <c r="B3" s="35" t="s">
        <v>102</v>
      </c>
    </row>
    <row r="4" spans="1:13" x14ac:dyDescent="0.35">
      <c r="A4" s="35" t="s">
        <v>97</v>
      </c>
      <c r="B4" s="35" t="s">
        <v>103</v>
      </c>
    </row>
    <row r="5" spans="1:13" x14ac:dyDescent="0.35">
      <c r="A5" s="35" t="s">
        <v>154</v>
      </c>
      <c r="B5" s="35" t="s">
        <v>104</v>
      </c>
    </row>
    <row r="6" spans="1:13" x14ac:dyDescent="0.35">
      <c r="A6" s="35" t="s">
        <v>177</v>
      </c>
      <c r="B6" s="35" t="s">
        <v>178</v>
      </c>
    </row>
    <row r="7" spans="1:13" x14ac:dyDescent="0.35">
      <c r="A7" s="35" t="s">
        <v>181</v>
      </c>
      <c r="B7" s="35" t="s">
        <v>179</v>
      </c>
    </row>
    <row r="8" spans="1:13" x14ac:dyDescent="0.35">
      <c r="A8" s="35" t="s">
        <v>182</v>
      </c>
      <c r="B8" s="35" t="s">
        <v>105</v>
      </c>
    </row>
    <row r="9" spans="1:13" x14ac:dyDescent="0.35">
      <c r="A9" s="35" t="s">
        <v>98</v>
      </c>
      <c r="B9" s="35" t="s">
        <v>183</v>
      </c>
    </row>
    <row r="10" spans="1:13" x14ac:dyDescent="0.35">
      <c r="A10" s="35" t="s">
        <v>99</v>
      </c>
      <c r="B10" s="35" t="s">
        <v>184</v>
      </c>
    </row>
    <row r="11" spans="1:13" x14ac:dyDescent="0.35">
      <c r="A11" s="35" t="s">
        <v>100</v>
      </c>
      <c r="B11" s="35" t="s">
        <v>184</v>
      </c>
    </row>
    <row r="12" spans="1:13" x14ac:dyDescent="0.35">
      <c r="A12" s="35" t="s">
        <v>101</v>
      </c>
      <c r="B12" s="35" t="s">
        <v>185</v>
      </c>
    </row>
    <row r="13" spans="1:13" x14ac:dyDescent="0.35">
      <c r="A13" t="s">
        <v>8</v>
      </c>
    </row>
    <row r="14" spans="1:13" x14ac:dyDescent="0.35">
      <c r="A14" s="36">
        <v>42767</v>
      </c>
    </row>
  </sheetData>
  <printOptions horizontalCentered="1"/>
  <pageMargins left="0.7" right="0.7" top="0.75" bottom="0.75" header="0.3" footer="0.3"/>
  <pageSetup scale="11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1" sqref="B1"/>
    </sheetView>
  </sheetViews>
  <sheetFormatPr defaultRowHeight="14.5" x14ac:dyDescent="0.35"/>
  <cols>
    <col min="1" max="1" width="31.54296875" bestFit="1" customWidth="1"/>
  </cols>
  <sheetData>
    <row r="1" spans="1:14" ht="18" x14ac:dyDescent="0.4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35">
      <c r="A2" t="s">
        <v>14</v>
      </c>
      <c r="B2" s="12">
        <v>0</v>
      </c>
      <c r="C2" s="12">
        <f>B2+25</f>
        <v>25</v>
      </c>
      <c r="D2" s="12">
        <f t="shared" ref="D2:L2" si="0">C2+25</f>
        <v>50</v>
      </c>
      <c r="E2" s="12">
        <f t="shared" si="0"/>
        <v>75</v>
      </c>
      <c r="F2" s="12">
        <f t="shared" si="0"/>
        <v>100</v>
      </c>
      <c r="G2" s="12">
        <f t="shared" si="0"/>
        <v>125</v>
      </c>
      <c r="H2" s="12">
        <f t="shared" si="0"/>
        <v>150</v>
      </c>
      <c r="I2" s="12">
        <f t="shared" si="0"/>
        <v>175</v>
      </c>
      <c r="J2" s="12">
        <f t="shared" si="0"/>
        <v>200</v>
      </c>
      <c r="K2" s="12">
        <f t="shared" si="0"/>
        <v>225</v>
      </c>
      <c r="L2" s="12">
        <f t="shared" si="0"/>
        <v>250</v>
      </c>
      <c r="M2" s="12">
        <f>L2+25</f>
        <v>275</v>
      </c>
      <c r="N2" s="12">
        <f>M2+25</f>
        <v>300</v>
      </c>
    </row>
    <row r="3" spans="1:14" x14ac:dyDescent="0.35">
      <c r="A3" t="s">
        <v>15</v>
      </c>
      <c r="B3" s="12">
        <f>IF(B2&gt;$B$6,$B$6-B2+$B$9,$B$9)</f>
        <v>50</v>
      </c>
      <c r="C3" s="12">
        <f t="shared" ref="C3:L3" si="1">IF(C2&gt;$B$6,$B$6-C2+$B$9,$B$9)</f>
        <v>50</v>
      </c>
      <c r="D3" s="12">
        <f t="shared" si="1"/>
        <v>50</v>
      </c>
      <c r="E3" s="12">
        <f t="shared" si="1"/>
        <v>50</v>
      </c>
      <c r="F3" s="12">
        <f t="shared" si="1"/>
        <v>50</v>
      </c>
      <c r="G3" s="12">
        <f t="shared" si="1"/>
        <v>50</v>
      </c>
      <c r="H3" s="12">
        <f t="shared" si="1"/>
        <v>50</v>
      </c>
      <c r="I3" s="12">
        <f t="shared" si="1"/>
        <v>50</v>
      </c>
      <c r="J3" s="12">
        <f t="shared" si="1"/>
        <v>25</v>
      </c>
      <c r="K3" s="12">
        <f t="shared" si="1"/>
        <v>0</v>
      </c>
      <c r="L3" s="12">
        <f t="shared" si="1"/>
        <v>-25</v>
      </c>
      <c r="M3" s="12">
        <f>IF(M2&gt;$B$6,$B$6-M2+$B$9,$B$9)</f>
        <v>-50</v>
      </c>
      <c r="N3" s="12">
        <f>IF(N2&gt;$B$6,$B$6-N2+$B$9,$B$9)</f>
        <v>-75</v>
      </c>
    </row>
    <row r="4" spans="1:14" x14ac:dyDescent="0.35">
      <c r="A4" t="s">
        <v>16</v>
      </c>
      <c r="B4" s="12">
        <f>IF(B2&lt;$B$7,-B2+$B$7-$B$10,-$B$10)</f>
        <v>75</v>
      </c>
      <c r="C4" s="12">
        <f t="shared" ref="C4:N4" si="2">IF(C2&lt;$B$7,-C2+$B$7-$B$10,-$B$10)</f>
        <v>50</v>
      </c>
      <c r="D4" s="12">
        <f t="shared" si="2"/>
        <v>25</v>
      </c>
      <c r="E4" s="12">
        <f t="shared" si="2"/>
        <v>0</v>
      </c>
      <c r="F4" s="12">
        <f t="shared" si="2"/>
        <v>-25</v>
      </c>
      <c r="G4" s="12">
        <f t="shared" si="2"/>
        <v>-50</v>
      </c>
      <c r="H4" s="12">
        <f t="shared" si="2"/>
        <v>-50</v>
      </c>
      <c r="I4" s="12">
        <f t="shared" si="2"/>
        <v>-50</v>
      </c>
      <c r="J4" s="12">
        <f t="shared" si="2"/>
        <v>-50</v>
      </c>
      <c r="K4" s="12">
        <f t="shared" si="2"/>
        <v>-50</v>
      </c>
      <c r="L4" s="12">
        <f t="shared" si="2"/>
        <v>-50</v>
      </c>
      <c r="M4" s="12">
        <f t="shared" si="2"/>
        <v>-50</v>
      </c>
      <c r="N4" s="12">
        <f t="shared" si="2"/>
        <v>-50</v>
      </c>
    </row>
    <row r="5" spans="1:14" x14ac:dyDescent="0.35">
      <c r="A5" t="s">
        <v>17</v>
      </c>
      <c r="B5" s="12">
        <f t="shared" ref="B5:L5" si="3">B2+B3+B4</f>
        <v>125</v>
      </c>
      <c r="C5" s="12">
        <f t="shared" si="3"/>
        <v>125</v>
      </c>
      <c r="D5" s="12">
        <f t="shared" si="3"/>
        <v>125</v>
      </c>
      <c r="E5" s="12">
        <f t="shared" si="3"/>
        <v>125</v>
      </c>
      <c r="F5" s="12">
        <f t="shared" si="3"/>
        <v>125</v>
      </c>
      <c r="G5" s="12">
        <f t="shared" si="3"/>
        <v>125</v>
      </c>
      <c r="H5" s="12">
        <f t="shared" si="3"/>
        <v>150</v>
      </c>
      <c r="I5" s="12">
        <f t="shared" si="3"/>
        <v>175</v>
      </c>
      <c r="J5" s="12">
        <f t="shared" si="3"/>
        <v>175</v>
      </c>
      <c r="K5" s="12">
        <f t="shared" si="3"/>
        <v>175</v>
      </c>
      <c r="L5" s="12">
        <f t="shared" si="3"/>
        <v>175</v>
      </c>
      <c r="M5" s="12">
        <f>M2+M3+M4</f>
        <v>175</v>
      </c>
      <c r="N5" s="12">
        <f>N2+N3+N4</f>
        <v>175</v>
      </c>
    </row>
    <row r="6" spans="1:14" x14ac:dyDescent="0.35">
      <c r="A6" t="s">
        <v>18</v>
      </c>
      <c r="B6" s="12">
        <v>175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4" x14ac:dyDescent="0.35">
      <c r="A7" t="s">
        <v>19</v>
      </c>
      <c r="B7" s="12">
        <v>125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4" x14ac:dyDescent="0.35">
      <c r="A8" t="s">
        <v>20</v>
      </c>
      <c r="B8" s="12" t="s">
        <v>8</v>
      </c>
      <c r="C8" s="12" t="s">
        <v>8</v>
      </c>
      <c r="D8" s="12" t="s">
        <v>8</v>
      </c>
      <c r="E8" s="12" t="str">
        <f t="shared" ref="E8:L8" si="4">D8</f>
        <v xml:space="preserve"> </v>
      </c>
      <c r="F8" s="12" t="str">
        <f t="shared" si="4"/>
        <v xml:space="preserve"> </v>
      </c>
      <c r="G8" s="12" t="str">
        <f t="shared" si="4"/>
        <v xml:space="preserve"> </v>
      </c>
      <c r="H8" s="12" t="str">
        <f t="shared" si="4"/>
        <v xml:space="preserve"> </v>
      </c>
      <c r="I8" s="12" t="str">
        <f t="shared" si="4"/>
        <v xml:space="preserve"> </v>
      </c>
      <c r="J8" s="12" t="str">
        <f t="shared" si="4"/>
        <v xml:space="preserve"> </v>
      </c>
      <c r="K8" s="12" t="str">
        <f t="shared" si="4"/>
        <v xml:space="preserve"> </v>
      </c>
      <c r="L8" s="12" t="str">
        <f t="shared" si="4"/>
        <v xml:space="preserve"> </v>
      </c>
    </row>
    <row r="9" spans="1:14" x14ac:dyDescent="0.35">
      <c r="A9" t="s">
        <v>21</v>
      </c>
      <c r="B9" s="12">
        <v>50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4" x14ac:dyDescent="0.35">
      <c r="A10" t="s">
        <v>22</v>
      </c>
      <c r="B10" s="12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4" x14ac:dyDescent="0.35">
      <c r="A11" s="13" t="s">
        <v>23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4" x14ac:dyDescent="0.35">
      <c r="A12" s="15" t="s">
        <v>24</v>
      </c>
    </row>
    <row r="13" spans="1:14" x14ac:dyDescent="0.35">
      <c r="A13" t="str">
        <f>A3</f>
        <v xml:space="preserve">WRITE REAL CALL AT K2 INTRINSIC </v>
      </c>
      <c r="B13" t="s">
        <v>25</v>
      </c>
    </row>
    <row r="14" spans="1:14" x14ac:dyDescent="0.35">
      <c r="A14" t="str">
        <f>A4</f>
        <v>BUY REAL PUT AT K1 INTRINSIC</v>
      </c>
      <c r="B14" t="s">
        <v>26</v>
      </c>
    </row>
    <row r="15" spans="1:14" x14ac:dyDescent="0.35">
      <c r="A15" t="s">
        <v>17</v>
      </c>
      <c r="B15" t="s">
        <v>27</v>
      </c>
    </row>
  </sheetData>
  <printOptions horizontalCentered="1" headings="1"/>
  <pageMargins left="0.35" right="0.26" top="0.75" bottom="0.75" header="0.3" footer="0.3"/>
  <pageSetup scale="6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2" workbookViewId="0">
      <selection activeCell="B41" sqref="B41"/>
    </sheetView>
  </sheetViews>
  <sheetFormatPr defaultRowHeight="14.5" x14ac:dyDescent="0.35"/>
  <sheetData>
    <row r="1" spans="1:14" x14ac:dyDescent="0.35">
      <c r="A1" s="2" t="s">
        <v>0</v>
      </c>
    </row>
    <row r="2" spans="1:14" x14ac:dyDescent="0.35">
      <c r="A2" s="16" t="s">
        <v>28</v>
      </c>
      <c r="B2" s="17">
        <v>0</v>
      </c>
      <c r="C2" s="17">
        <f>B2+25</f>
        <v>25</v>
      </c>
      <c r="D2" s="17">
        <f t="shared" ref="D2:N2" si="0">C2+25</f>
        <v>50</v>
      </c>
      <c r="E2" s="17">
        <f t="shared" si="0"/>
        <v>75</v>
      </c>
      <c r="F2" s="17">
        <f t="shared" si="0"/>
        <v>100</v>
      </c>
      <c r="G2" s="17">
        <f t="shared" si="0"/>
        <v>125</v>
      </c>
      <c r="H2" s="17">
        <f t="shared" si="0"/>
        <v>150</v>
      </c>
      <c r="I2" s="17">
        <f t="shared" si="0"/>
        <v>175</v>
      </c>
      <c r="J2" s="17">
        <f t="shared" si="0"/>
        <v>200</v>
      </c>
      <c r="K2" s="17">
        <f t="shared" si="0"/>
        <v>225</v>
      </c>
      <c r="L2" s="17">
        <f t="shared" si="0"/>
        <v>250</v>
      </c>
      <c r="M2" s="17">
        <f t="shared" si="0"/>
        <v>275</v>
      </c>
      <c r="N2" s="17">
        <f t="shared" si="0"/>
        <v>300</v>
      </c>
    </row>
    <row r="3" spans="1:14" x14ac:dyDescent="0.35">
      <c r="A3" s="16" t="s">
        <v>2</v>
      </c>
      <c r="B3" s="17">
        <v>150</v>
      </c>
      <c r="C3" s="17">
        <f>B3</f>
        <v>150</v>
      </c>
      <c r="D3" s="17">
        <f t="shared" ref="D3:N4" si="1">C3</f>
        <v>150</v>
      </c>
      <c r="E3" s="17">
        <f t="shared" si="1"/>
        <v>150</v>
      </c>
      <c r="F3" s="17">
        <f t="shared" si="1"/>
        <v>150</v>
      </c>
      <c r="G3" s="17">
        <f t="shared" si="1"/>
        <v>150</v>
      </c>
      <c r="H3" s="17">
        <f t="shared" si="1"/>
        <v>150</v>
      </c>
      <c r="I3" s="17">
        <f t="shared" si="1"/>
        <v>150</v>
      </c>
      <c r="J3" s="17">
        <f t="shared" si="1"/>
        <v>150</v>
      </c>
      <c r="K3" s="17">
        <f t="shared" si="1"/>
        <v>150</v>
      </c>
      <c r="L3" s="17">
        <f t="shared" si="1"/>
        <v>150</v>
      </c>
      <c r="M3" s="17">
        <f t="shared" si="1"/>
        <v>150</v>
      </c>
      <c r="N3" s="17">
        <f t="shared" si="1"/>
        <v>150</v>
      </c>
    </row>
    <row r="4" spans="1:14" x14ac:dyDescent="0.35">
      <c r="A4" s="10" t="s">
        <v>3</v>
      </c>
      <c r="B4" s="17">
        <v>0.2</v>
      </c>
      <c r="C4" s="17">
        <f>B4</f>
        <v>0.2</v>
      </c>
      <c r="D4" s="17">
        <f t="shared" si="1"/>
        <v>0.2</v>
      </c>
      <c r="E4" s="17">
        <f t="shared" si="1"/>
        <v>0.2</v>
      </c>
      <c r="F4" s="17">
        <f t="shared" si="1"/>
        <v>0.2</v>
      </c>
      <c r="G4" s="17">
        <f t="shared" si="1"/>
        <v>0.2</v>
      </c>
      <c r="H4" s="17">
        <f t="shared" si="1"/>
        <v>0.2</v>
      </c>
      <c r="I4" s="17">
        <f t="shared" si="1"/>
        <v>0.2</v>
      </c>
      <c r="J4" s="17">
        <f t="shared" si="1"/>
        <v>0.2</v>
      </c>
      <c r="K4" s="17">
        <f t="shared" si="1"/>
        <v>0.2</v>
      </c>
      <c r="L4" s="17">
        <f t="shared" si="1"/>
        <v>0.2</v>
      </c>
      <c r="M4" s="17">
        <f t="shared" si="1"/>
        <v>0.2</v>
      </c>
      <c r="N4" s="17">
        <f t="shared" si="1"/>
        <v>0.2</v>
      </c>
    </row>
    <row r="5" spans="1:14" x14ac:dyDescent="0.35">
      <c r="A5" s="18" t="s">
        <v>4</v>
      </c>
      <c r="B5" s="17">
        <v>0.04</v>
      </c>
      <c r="C5" s="17">
        <f>B5</f>
        <v>0.04</v>
      </c>
      <c r="D5" s="17">
        <v>0.04</v>
      </c>
      <c r="E5" s="17">
        <v>0.04</v>
      </c>
      <c r="F5" s="17">
        <v>0.04</v>
      </c>
      <c r="G5" s="17">
        <v>0.04</v>
      </c>
      <c r="H5" s="17">
        <v>0.04</v>
      </c>
      <c r="I5" s="17">
        <v>0.04</v>
      </c>
      <c r="J5" s="17">
        <v>0.04</v>
      </c>
      <c r="K5" s="17">
        <v>0.04</v>
      </c>
      <c r="L5" s="17">
        <v>0.04</v>
      </c>
      <c r="M5" s="17">
        <v>0.04</v>
      </c>
      <c r="N5" s="17">
        <v>0.04</v>
      </c>
    </row>
    <row r="6" spans="1:14" x14ac:dyDescent="0.35">
      <c r="A6" s="10" t="s">
        <v>29</v>
      </c>
      <c r="B6" s="17">
        <v>0.04</v>
      </c>
      <c r="C6" s="17">
        <f>B6</f>
        <v>0.04</v>
      </c>
      <c r="D6" s="17">
        <v>0.04</v>
      </c>
      <c r="E6" s="17">
        <v>0.04</v>
      </c>
      <c r="F6" s="17">
        <v>0.04</v>
      </c>
      <c r="G6" s="17">
        <v>0.04</v>
      </c>
      <c r="H6" s="17">
        <v>0.04</v>
      </c>
      <c r="I6" s="17">
        <v>0.04</v>
      </c>
      <c r="J6" s="17">
        <v>0.04</v>
      </c>
      <c r="K6" s="17">
        <v>0.04</v>
      </c>
      <c r="L6" s="17">
        <v>0.04</v>
      </c>
      <c r="M6" s="17">
        <v>0.04</v>
      </c>
      <c r="N6" s="17">
        <v>0.04</v>
      </c>
    </row>
    <row r="7" spans="1:14" x14ac:dyDescent="0.35">
      <c r="A7" s="18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5">
      <c r="A8" s="16" t="s">
        <v>30</v>
      </c>
      <c r="B8" s="17">
        <f t="shared" ref="B8:N8" si="2">IF(B2&lt;B10,((B10-B3)*(B2/B10)^B11),B9)</f>
        <v>0</v>
      </c>
      <c r="C8" s="17">
        <f t="shared" si="2"/>
        <v>1.0416666666666679</v>
      </c>
      <c r="D8" s="17">
        <f t="shared" si="2"/>
        <v>4.1666666666666687</v>
      </c>
      <c r="E8" s="17">
        <f t="shared" si="2"/>
        <v>9.3750000000000036</v>
      </c>
      <c r="F8" s="17">
        <f t="shared" si="2"/>
        <v>16.666666666666671</v>
      </c>
      <c r="G8" s="17">
        <f t="shared" si="2"/>
        <v>26.041666666666671</v>
      </c>
      <c r="H8" s="17">
        <f t="shared" si="2"/>
        <v>37.500000000000007</v>
      </c>
      <c r="I8" s="17">
        <f t="shared" si="2"/>
        <v>51.041666666666686</v>
      </c>
      <c r="J8" s="17">
        <f t="shared" si="2"/>
        <v>66.666666666666671</v>
      </c>
      <c r="K8" s="17">
        <f t="shared" si="2"/>
        <v>84.375000000000014</v>
      </c>
      <c r="L8" s="17">
        <f t="shared" si="2"/>
        <v>104.16666666666667</v>
      </c>
      <c r="M8" s="17">
        <f t="shared" si="2"/>
        <v>126.04166666666669</v>
      </c>
      <c r="N8" s="17">
        <f t="shared" si="2"/>
        <v>150</v>
      </c>
    </row>
    <row r="9" spans="1:14" x14ac:dyDescent="0.35">
      <c r="A9" s="16" t="s">
        <v>6</v>
      </c>
      <c r="B9" s="17">
        <f>MAX(B2-B3,0)</f>
        <v>0</v>
      </c>
      <c r="C9" s="17">
        <f t="shared" ref="C9:N9" si="3">MAX(C2-C3,0)</f>
        <v>0</v>
      </c>
      <c r="D9" s="17">
        <f t="shared" si="3"/>
        <v>0</v>
      </c>
      <c r="E9" s="17">
        <f t="shared" si="3"/>
        <v>0</v>
      </c>
      <c r="F9" s="17">
        <f t="shared" si="3"/>
        <v>0</v>
      </c>
      <c r="G9" s="17">
        <f t="shared" si="3"/>
        <v>0</v>
      </c>
      <c r="H9" s="17">
        <f t="shared" si="3"/>
        <v>0</v>
      </c>
      <c r="I9" s="17">
        <f t="shared" si="3"/>
        <v>25</v>
      </c>
      <c r="J9" s="17">
        <f t="shared" si="3"/>
        <v>50</v>
      </c>
      <c r="K9" s="17">
        <f t="shared" si="3"/>
        <v>75</v>
      </c>
      <c r="L9" s="17">
        <f t="shared" si="3"/>
        <v>100</v>
      </c>
      <c r="M9" s="17">
        <f t="shared" si="3"/>
        <v>125</v>
      </c>
      <c r="N9" s="17">
        <f t="shared" si="3"/>
        <v>150</v>
      </c>
    </row>
    <row r="10" spans="1:14" x14ac:dyDescent="0.35">
      <c r="A10" s="16" t="s">
        <v>31</v>
      </c>
      <c r="B10" s="17">
        <f t="shared" ref="B10:N10" si="4">(B11/(B11-1))*B3</f>
        <v>300.00000000000006</v>
      </c>
      <c r="C10" s="17">
        <f t="shared" si="4"/>
        <v>300.00000000000006</v>
      </c>
      <c r="D10" s="17">
        <f t="shared" si="4"/>
        <v>300.00000000000006</v>
      </c>
      <c r="E10" s="17">
        <f t="shared" si="4"/>
        <v>300.00000000000006</v>
      </c>
      <c r="F10" s="17">
        <f t="shared" si="4"/>
        <v>300.00000000000006</v>
      </c>
      <c r="G10" s="17">
        <f t="shared" si="4"/>
        <v>300.00000000000006</v>
      </c>
      <c r="H10" s="17">
        <f t="shared" si="4"/>
        <v>300.00000000000006</v>
      </c>
      <c r="I10" s="17">
        <f t="shared" si="4"/>
        <v>300.00000000000006</v>
      </c>
      <c r="J10" s="17">
        <f t="shared" si="4"/>
        <v>300.00000000000006</v>
      </c>
      <c r="K10" s="17">
        <f t="shared" si="4"/>
        <v>300.00000000000006</v>
      </c>
      <c r="L10" s="17">
        <f t="shared" si="4"/>
        <v>300.00000000000006</v>
      </c>
      <c r="M10" s="17">
        <f t="shared" si="4"/>
        <v>300.00000000000006</v>
      </c>
      <c r="N10" s="17">
        <f t="shared" si="4"/>
        <v>300.00000000000006</v>
      </c>
    </row>
    <row r="11" spans="1:14" ht="15.5" x14ac:dyDescent="0.4">
      <c r="A11" s="10" t="s">
        <v>7</v>
      </c>
      <c r="B11" s="17">
        <f>0.5-(B5-B6)/(B4^2)+SQRT(((B5-B6)/(B4^2)-0.5)^2 + 2*B5/(B4^2))</f>
        <v>1.9999999999999998</v>
      </c>
      <c r="C11" s="17">
        <f t="shared" ref="C11:N11" si="5">0.5-(C5-C6)/(C4^2)+SQRT(((C5-C6)/(C4^2)-0.5)^2 + 2*C5/(C4^2))</f>
        <v>1.9999999999999998</v>
      </c>
      <c r="D11" s="17">
        <f t="shared" si="5"/>
        <v>1.9999999999999998</v>
      </c>
      <c r="E11" s="17">
        <f t="shared" si="5"/>
        <v>1.9999999999999998</v>
      </c>
      <c r="F11" s="17">
        <f t="shared" si="5"/>
        <v>1.9999999999999998</v>
      </c>
      <c r="G11" s="17">
        <f t="shared" si="5"/>
        <v>1.9999999999999998</v>
      </c>
      <c r="H11" s="17">
        <f t="shared" si="5"/>
        <v>1.9999999999999998</v>
      </c>
      <c r="I11" s="17">
        <f t="shared" si="5"/>
        <v>1.9999999999999998</v>
      </c>
      <c r="J11" s="17">
        <f t="shared" si="5"/>
        <v>1.9999999999999998</v>
      </c>
      <c r="K11" s="17">
        <f t="shared" si="5"/>
        <v>1.9999999999999998</v>
      </c>
      <c r="L11" s="17">
        <f t="shared" si="5"/>
        <v>1.9999999999999998</v>
      </c>
      <c r="M11" s="17">
        <f t="shared" si="5"/>
        <v>1.9999999999999998</v>
      </c>
      <c r="N11" s="17">
        <f t="shared" si="5"/>
        <v>1.9999999999999998</v>
      </c>
    </row>
    <row r="13" spans="1:14" x14ac:dyDescent="0.35">
      <c r="A13" s="16" t="s">
        <v>32</v>
      </c>
      <c r="B13" s="17">
        <f t="shared" ref="B13:N13" si="6">IF(B2&gt;B15,(-B3/(B16-1))*(B2/B15)^B16,B14)</f>
        <v>150</v>
      </c>
      <c r="C13" s="17">
        <f t="shared" si="6"/>
        <v>125</v>
      </c>
      <c r="D13" s="17">
        <f t="shared" si="6"/>
        <v>100</v>
      </c>
      <c r="E13" s="17">
        <f t="shared" si="6"/>
        <v>75</v>
      </c>
      <c r="F13" s="17">
        <f t="shared" si="6"/>
        <v>56.25</v>
      </c>
      <c r="G13" s="17">
        <f t="shared" si="6"/>
        <v>45.000000000000007</v>
      </c>
      <c r="H13" s="17">
        <f t="shared" si="6"/>
        <v>37.500000000000007</v>
      </c>
      <c r="I13" s="17">
        <f t="shared" si="6"/>
        <v>32.142857142857146</v>
      </c>
      <c r="J13" s="17">
        <f t="shared" si="6"/>
        <v>28.125000000000014</v>
      </c>
      <c r="K13" s="17">
        <f t="shared" si="6"/>
        <v>25.000000000000007</v>
      </c>
      <c r="L13" s="17">
        <f t="shared" si="6"/>
        <v>22.500000000000007</v>
      </c>
      <c r="M13" s="17">
        <f t="shared" si="6"/>
        <v>20.454545454545457</v>
      </c>
      <c r="N13" s="17">
        <f t="shared" si="6"/>
        <v>18.750000000000004</v>
      </c>
    </row>
    <row r="14" spans="1:14" x14ac:dyDescent="0.35">
      <c r="A14" s="16" t="s">
        <v>33</v>
      </c>
      <c r="B14" s="1">
        <f>MAX(B3-B2,0)</f>
        <v>150</v>
      </c>
      <c r="C14" s="1">
        <f t="shared" ref="C14:N14" si="7">MAX(C3-C2,0)</f>
        <v>125</v>
      </c>
      <c r="D14" s="1">
        <f t="shared" si="7"/>
        <v>100</v>
      </c>
      <c r="E14" s="1">
        <f t="shared" si="7"/>
        <v>75</v>
      </c>
      <c r="F14" s="1">
        <f t="shared" si="7"/>
        <v>50</v>
      </c>
      <c r="G14" s="1">
        <f t="shared" si="7"/>
        <v>25</v>
      </c>
      <c r="H14" s="1">
        <f t="shared" si="7"/>
        <v>0</v>
      </c>
      <c r="I14" s="1">
        <f t="shared" si="7"/>
        <v>0</v>
      </c>
      <c r="J14" s="1">
        <f t="shared" si="7"/>
        <v>0</v>
      </c>
      <c r="K14" s="1">
        <f t="shared" si="7"/>
        <v>0</v>
      </c>
      <c r="L14" s="1">
        <f t="shared" si="7"/>
        <v>0</v>
      </c>
      <c r="M14" s="1">
        <f t="shared" si="7"/>
        <v>0</v>
      </c>
      <c r="N14" s="1">
        <f t="shared" si="7"/>
        <v>0</v>
      </c>
    </row>
    <row r="15" spans="1:14" x14ac:dyDescent="0.35">
      <c r="A15" s="16" t="s">
        <v>31</v>
      </c>
      <c r="B15" s="19">
        <f t="shared" ref="B15:N15" si="8">(B16/(B16-1))*B3</f>
        <v>74.999999999999986</v>
      </c>
      <c r="C15" s="19">
        <f t="shared" si="8"/>
        <v>74.999999999999986</v>
      </c>
      <c r="D15" s="19">
        <f t="shared" si="8"/>
        <v>74.999999999999986</v>
      </c>
      <c r="E15" s="19">
        <f t="shared" si="8"/>
        <v>74.999999999999986</v>
      </c>
      <c r="F15" s="19">
        <f t="shared" si="8"/>
        <v>74.999999999999986</v>
      </c>
      <c r="G15" s="19">
        <f t="shared" si="8"/>
        <v>74.999999999999986</v>
      </c>
      <c r="H15" s="19">
        <f t="shared" si="8"/>
        <v>74.999999999999986</v>
      </c>
      <c r="I15" s="19">
        <f t="shared" si="8"/>
        <v>74.999999999999986</v>
      </c>
      <c r="J15" s="19">
        <f t="shared" si="8"/>
        <v>74.999999999999986</v>
      </c>
      <c r="K15" s="19">
        <f t="shared" si="8"/>
        <v>74.999999999999986</v>
      </c>
      <c r="L15" s="19">
        <f t="shared" si="8"/>
        <v>74.999999999999986</v>
      </c>
      <c r="M15" s="19">
        <f t="shared" si="8"/>
        <v>74.999999999999986</v>
      </c>
      <c r="N15" s="19">
        <f t="shared" si="8"/>
        <v>74.999999999999986</v>
      </c>
    </row>
    <row r="16" spans="1:14" x14ac:dyDescent="0.35">
      <c r="A16" s="10" t="s">
        <v>12</v>
      </c>
      <c r="B16" s="17">
        <f>0.5-(B5-B6)/(B4^2)-SQRT(((B5-B6)/(B4^2)-0.5)^2 + 2*B5/(B4^2))</f>
        <v>-0.99999999999999978</v>
      </c>
      <c r="C16" s="17">
        <f t="shared" ref="C16:N16" si="9">0.5-(C5-C6)/(C4^2)-SQRT(((C5-C6)/(C4^2)-0.5)^2 + 2*C5/(C4^2))</f>
        <v>-0.99999999999999978</v>
      </c>
      <c r="D16" s="17">
        <f t="shared" si="9"/>
        <v>-0.99999999999999978</v>
      </c>
      <c r="E16" s="17">
        <f t="shared" si="9"/>
        <v>-0.99999999999999978</v>
      </c>
      <c r="F16" s="17">
        <f t="shared" si="9"/>
        <v>-0.99999999999999978</v>
      </c>
      <c r="G16" s="17">
        <f t="shared" si="9"/>
        <v>-0.99999999999999978</v>
      </c>
      <c r="H16" s="17">
        <f t="shared" si="9"/>
        <v>-0.99999999999999978</v>
      </c>
      <c r="I16" s="17">
        <f t="shared" si="9"/>
        <v>-0.99999999999999978</v>
      </c>
      <c r="J16" s="17">
        <f t="shared" si="9"/>
        <v>-0.99999999999999978</v>
      </c>
      <c r="K16" s="17">
        <f t="shared" si="9"/>
        <v>-0.99999999999999978</v>
      </c>
      <c r="L16" s="17">
        <f t="shared" si="9"/>
        <v>-0.99999999999999978</v>
      </c>
      <c r="M16" s="17">
        <f t="shared" si="9"/>
        <v>-0.99999999999999978</v>
      </c>
      <c r="N16" s="17">
        <f t="shared" si="9"/>
        <v>-0.99999999999999978</v>
      </c>
    </row>
    <row r="18" spans="1:14" x14ac:dyDescent="0.35">
      <c r="A18" s="1" t="str">
        <f>A8</f>
        <v>ROV CALL</v>
      </c>
      <c r="B18" s="1">
        <f t="shared" ref="B18:N18" si="10">B8</f>
        <v>0</v>
      </c>
      <c r="C18" s="1">
        <f t="shared" si="10"/>
        <v>1.0416666666666679</v>
      </c>
      <c r="D18" s="1">
        <f t="shared" si="10"/>
        <v>4.1666666666666687</v>
      </c>
      <c r="E18" s="1">
        <f t="shared" si="10"/>
        <v>9.3750000000000036</v>
      </c>
      <c r="F18" s="1">
        <f t="shared" si="10"/>
        <v>16.666666666666671</v>
      </c>
      <c r="G18" s="1">
        <f t="shared" si="10"/>
        <v>26.041666666666671</v>
      </c>
      <c r="H18" s="1">
        <f t="shared" si="10"/>
        <v>37.500000000000007</v>
      </c>
      <c r="I18" s="1">
        <f t="shared" si="10"/>
        <v>51.041666666666686</v>
      </c>
      <c r="J18" s="1">
        <f t="shared" si="10"/>
        <v>66.666666666666671</v>
      </c>
      <c r="K18" s="1">
        <f t="shared" si="10"/>
        <v>84.375000000000014</v>
      </c>
      <c r="L18" s="1">
        <f t="shared" si="10"/>
        <v>104.16666666666667</v>
      </c>
      <c r="M18" s="1">
        <f t="shared" si="10"/>
        <v>126.04166666666669</v>
      </c>
      <c r="N18" s="1">
        <f t="shared" si="10"/>
        <v>150</v>
      </c>
    </row>
    <row r="19" spans="1:14" x14ac:dyDescent="0.35">
      <c r="A19" s="1" t="str">
        <f>A9</f>
        <v>V-K</v>
      </c>
      <c r="B19" s="1">
        <f t="shared" ref="B19:N19" si="11">B9</f>
        <v>0</v>
      </c>
      <c r="C19" s="1">
        <f t="shared" si="11"/>
        <v>0</v>
      </c>
      <c r="D19" s="1">
        <f t="shared" si="11"/>
        <v>0</v>
      </c>
      <c r="E19" s="1">
        <f t="shared" si="11"/>
        <v>0</v>
      </c>
      <c r="F19" s="1">
        <f t="shared" si="11"/>
        <v>0</v>
      </c>
      <c r="G19" s="1">
        <f t="shared" si="11"/>
        <v>0</v>
      </c>
      <c r="H19" s="1">
        <f t="shared" si="11"/>
        <v>0</v>
      </c>
      <c r="I19" s="1">
        <f t="shared" si="11"/>
        <v>25</v>
      </c>
      <c r="J19" s="1">
        <f t="shared" si="11"/>
        <v>50</v>
      </c>
      <c r="K19" s="1">
        <f t="shared" si="11"/>
        <v>75</v>
      </c>
      <c r="L19" s="1">
        <f t="shared" si="11"/>
        <v>100</v>
      </c>
      <c r="M19" s="1">
        <f t="shared" si="11"/>
        <v>125</v>
      </c>
      <c r="N19" s="1">
        <f t="shared" si="11"/>
        <v>150</v>
      </c>
    </row>
    <row r="20" spans="1:14" x14ac:dyDescent="0.35">
      <c r="A20" t="str">
        <f>A13</f>
        <v>ROC PUT</v>
      </c>
      <c r="B20" s="1">
        <f t="shared" ref="B20:N20" si="12">B13</f>
        <v>150</v>
      </c>
      <c r="C20" s="1">
        <f t="shared" si="12"/>
        <v>125</v>
      </c>
      <c r="D20" s="1">
        <f t="shared" si="12"/>
        <v>100</v>
      </c>
      <c r="E20" s="1">
        <f t="shared" si="12"/>
        <v>75</v>
      </c>
      <c r="F20" s="1">
        <f t="shared" si="12"/>
        <v>56.25</v>
      </c>
      <c r="G20" s="1">
        <f t="shared" si="12"/>
        <v>45.000000000000007</v>
      </c>
      <c r="H20" s="1">
        <f t="shared" si="12"/>
        <v>37.500000000000007</v>
      </c>
      <c r="I20" s="1">
        <f t="shared" si="12"/>
        <v>32.142857142857146</v>
      </c>
      <c r="J20" s="1">
        <f t="shared" si="12"/>
        <v>28.125000000000014</v>
      </c>
      <c r="K20" s="1">
        <f t="shared" si="12"/>
        <v>25.000000000000007</v>
      </c>
      <c r="L20" s="1">
        <f t="shared" si="12"/>
        <v>22.500000000000007</v>
      </c>
      <c r="M20" s="1">
        <f t="shared" si="12"/>
        <v>20.454545454545457</v>
      </c>
      <c r="N20" s="1">
        <f t="shared" si="12"/>
        <v>18.750000000000004</v>
      </c>
    </row>
    <row r="21" spans="1:14" x14ac:dyDescent="0.35">
      <c r="A21" t="str">
        <f>A14</f>
        <v>K-V</v>
      </c>
      <c r="B21">
        <f t="shared" ref="B21:N21" si="13">B14</f>
        <v>150</v>
      </c>
      <c r="C21">
        <f t="shared" si="13"/>
        <v>125</v>
      </c>
      <c r="D21">
        <f t="shared" si="13"/>
        <v>100</v>
      </c>
      <c r="E21">
        <f t="shared" si="13"/>
        <v>75</v>
      </c>
      <c r="F21">
        <f t="shared" si="13"/>
        <v>50</v>
      </c>
      <c r="G21">
        <f t="shared" si="13"/>
        <v>25</v>
      </c>
      <c r="H21">
        <f t="shared" si="13"/>
        <v>0</v>
      </c>
      <c r="I21">
        <f t="shared" si="13"/>
        <v>0</v>
      </c>
      <c r="J21">
        <f t="shared" si="13"/>
        <v>0</v>
      </c>
      <c r="K21">
        <f t="shared" si="13"/>
        <v>0</v>
      </c>
      <c r="L21">
        <f t="shared" si="13"/>
        <v>0</v>
      </c>
      <c r="M21">
        <f t="shared" si="13"/>
        <v>0</v>
      </c>
      <c r="N21">
        <f t="shared" si="13"/>
        <v>0</v>
      </c>
    </row>
    <row r="42" spans="1:2" x14ac:dyDescent="0.35">
      <c r="A42" s="16" t="s">
        <v>30</v>
      </c>
      <c r="B42" s="17" t="s">
        <v>34</v>
      </c>
    </row>
    <row r="43" spans="1:2" x14ac:dyDescent="0.35">
      <c r="A43" s="16" t="s">
        <v>6</v>
      </c>
      <c r="B43" s="17" t="s">
        <v>35</v>
      </c>
    </row>
    <row r="44" spans="1:2" x14ac:dyDescent="0.35">
      <c r="A44" s="16" t="s">
        <v>31</v>
      </c>
      <c r="B44" s="17" t="s">
        <v>36</v>
      </c>
    </row>
    <row r="45" spans="1:2" ht="15.5" x14ac:dyDescent="0.4">
      <c r="A45" s="10" t="s">
        <v>7</v>
      </c>
      <c r="B45" s="17" t="s">
        <v>37</v>
      </c>
    </row>
    <row r="47" spans="1:2" x14ac:dyDescent="0.35">
      <c r="A47" s="16" t="s">
        <v>32</v>
      </c>
      <c r="B47" s="17" t="s">
        <v>38</v>
      </c>
    </row>
    <row r="48" spans="1:2" x14ac:dyDescent="0.35">
      <c r="A48" s="16" t="s">
        <v>33</v>
      </c>
      <c r="B48" s="17" t="s">
        <v>39</v>
      </c>
    </row>
    <row r="49" spans="1:2" x14ac:dyDescent="0.35">
      <c r="A49" s="16" t="s">
        <v>31</v>
      </c>
      <c r="B49" s="19" t="s">
        <v>40</v>
      </c>
    </row>
    <row r="50" spans="1:2" x14ac:dyDescent="0.35">
      <c r="A50" s="10" t="s">
        <v>12</v>
      </c>
      <c r="B50" s="17" t="s">
        <v>41</v>
      </c>
    </row>
  </sheetData>
  <printOptions horizontalCentered="1" headings="1"/>
  <pageMargins left="0.7" right="0.7" top="0.75" bottom="0.75" header="0.3" footer="0.3"/>
  <pageSetup scale="6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18" sqref="C18"/>
    </sheetView>
  </sheetViews>
  <sheetFormatPr defaultRowHeight="14.5" x14ac:dyDescent="0.35"/>
  <cols>
    <col min="1" max="1" width="16" customWidth="1"/>
    <col min="2" max="2" width="9" customWidth="1"/>
    <col min="3" max="3" width="70.54296875" customWidth="1"/>
    <col min="4" max="4" width="3.1796875" customWidth="1"/>
  </cols>
  <sheetData>
    <row r="1" spans="1:4" ht="15.5" x14ac:dyDescent="0.35">
      <c r="A1" s="20" t="s">
        <v>44</v>
      </c>
      <c r="B1" s="21"/>
      <c r="C1" s="21"/>
      <c r="D1" s="21"/>
    </row>
    <row r="2" spans="1:4" x14ac:dyDescent="0.35">
      <c r="A2" s="22" t="s">
        <v>0</v>
      </c>
      <c r="D2" t="s">
        <v>42</v>
      </c>
    </row>
    <row r="3" spans="1:4" x14ac:dyDescent="0.35">
      <c r="A3" s="16" t="s">
        <v>9</v>
      </c>
      <c r="B3" s="17">
        <v>10</v>
      </c>
      <c r="C3" s="17"/>
    </row>
    <row r="4" spans="1:4" x14ac:dyDescent="0.35">
      <c r="A4" s="16" t="s">
        <v>8</v>
      </c>
      <c r="B4" s="17" t="s">
        <v>8</v>
      </c>
      <c r="C4" s="17"/>
    </row>
    <row r="5" spans="1:4" x14ac:dyDescent="0.35">
      <c r="A5" s="10" t="s">
        <v>3</v>
      </c>
      <c r="B5" s="17">
        <v>0.2</v>
      </c>
      <c r="C5" s="17"/>
    </row>
    <row r="6" spans="1:4" x14ac:dyDescent="0.35">
      <c r="A6" s="18" t="s">
        <v>4</v>
      </c>
      <c r="B6" s="17">
        <v>0.04</v>
      </c>
      <c r="C6" s="17"/>
    </row>
    <row r="7" spans="1:4" x14ac:dyDescent="0.35">
      <c r="A7" s="10" t="s">
        <v>29</v>
      </c>
      <c r="B7" s="17">
        <v>0.04</v>
      </c>
      <c r="C7" s="17"/>
    </row>
    <row r="8" spans="1:4" ht="16.5" x14ac:dyDescent="0.45">
      <c r="A8" t="s">
        <v>107</v>
      </c>
      <c r="B8" s="6">
        <v>5</v>
      </c>
      <c r="C8" s="6"/>
    </row>
    <row r="9" spans="1:4" ht="16.5" x14ac:dyDescent="0.45">
      <c r="A9" t="s">
        <v>135</v>
      </c>
      <c r="B9" s="38">
        <v>15</v>
      </c>
      <c r="C9" s="6"/>
    </row>
    <row r="10" spans="1:4" x14ac:dyDescent="0.35">
      <c r="A10" s="23" t="s">
        <v>5</v>
      </c>
      <c r="B10" s="16"/>
      <c r="C10" s="16"/>
    </row>
    <row r="11" spans="1:4" x14ac:dyDescent="0.35">
      <c r="A11" s="25" t="s">
        <v>54</v>
      </c>
      <c r="B11" s="5">
        <f>IF(B3&lt;B8,B8/B6+B16,IF(B3&gt;B9,B9/B6+B19,B3/B7+B17+B18))</f>
        <v>215.27777777777777</v>
      </c>
      <c r="C11" s="39" t="s">
        <v>157</v>
      </c>
      <c r="D11">
        <v>5</v>
      </c>
    </row>
    <row r="12" spans="1:4" x14ac:dyDescent="0.35">
      <c r="A12" s="25" t="s">
        <v>55</v>
      </c>
      <c r="B12" s="5">
        <f>IF(B3&lt;B8,B8/B6,IF(B3&gt;B9,B9/B6,B3/B7))</f>
        <v>250</v>
      </c>
      <c r="C12" s="5" t="s">
        <v>158</v>
      </c>
      <c r="D12" t="s">
        <v>8</v>
      </c>
    </row>
    <row r="13" spans="1:4" x14ac:dyDescent="0.35">
      <c r="A13" s="16" t="s">
        <v>112</v>
      </c>
      <c r="B13" s="24">
        <f>B3/B7</f>
        <v>250</v>
      </c>
      <c r="C13" s="24" t="s">
        <v>113</v>
      </c>
      <c r="D13" t="s">
        <v>8</v>
      </c>
    </row>
    <row r="14" spans="1:4" ht="15.5" x14ac:dyDescent="0.4">
      <c r="A14" s="10" t="s">
        <v>7</v>
      </c>
      <c r="B14" s="24">
        <f>0.5-(B6-B7)/(B5^2)+SQRT(((B6-B7)/(B5^2)-0.5)^2 + 2*B6/(B5^2))</f>
        <v>1.9999999999999998</v>
      </c>
      <c r="C14" s="24" t="s">
        <v>51</v>
      </c>
      <c r="D14">
        <v>4</v>
      </c>
    </row>
    <row r="15" spans="1:4" x14ac:dyDescent="0.35">
      <c r="A15" s="10" t="s">
        <v>12</v>
      </c>
      <c r="B15" s="24">
        <f>0.5-(B6-B7)/(B5^2)-SQRT(((B6-B7)/(B5^2)-0.5)^2 + 2*B6/(B5^2))</f>
        <v>-0.99999999999999978</v>
      </c>
      <c r="C15" s="24" t="s">
        <v>56</v>
      </c>
      <c r="D15">
        <v>4</v>
      </c>
    </row>
    <row r="16" spans="1:4" x14ac:dyDescent="0.35">
      <c r="A16" s="8" t="s">
        <v>159</v>
      </c>
      <c r="B16" s="5">
        <f>B21*(B3^B14)</f>
        <v>111.11111111111111</v>
      </c>
      <c r="C16" s="5" t="s">
        <v>115</v>
      </c>
      <c r="D16" t="s">
        <v>8</v>
      </c>
    </row>
    <row r="17" spans="1:4" x14ac:dyDescent="0.35">
      <c r="A17" s="8" t="s">
        <v>160</v>
      </c>
      <c r="B17" s="5">
        <f>B22*(B3^B14)</f>
        <v>-55.555555555555564</v>
      </c>
      <c r="C17" s="5" t="s">
        <v>139</v>
      </c>
      <c r="D17" t="s">
        <v>8</v>
      </c>
    </row>
    <row r="18" spans="1:4" x14ac:dyDescent="0.35">
      <c r="A18" s="8" t="s">
        <v>161</v>
      </c>
      <c r="B18" s="5">
        <f>B23*(B3^B15)</f>
        <v>20.833333333333329</v>
      </c>
      <c r="C18" s="5" t="s">
        <v>117</v>
      </c>
      <c r="D18" t="s">
        <v>8</v>
      </c>
    </row>
    <row r="19" spans="1:4" x14ac:dyDescent="0.35">
      <c r="A19" s="8" t="s">
        <v>162</v>
      </c>
      <c r="B19" s="5">
        <f>B24*(B3^B15)</f>
        <v>-166.66666666666663</v>
      </c>
      <c r="C19" s="5" t="s">
        <v>141</v>
      </c>
      <c r="D19" t="s">
        <v>8</v>
      </c>
    </row>
    <row r="20" spans="1:4" x14ac:dyDescent="0.35">
      <c r="A20" t="s">
        <v>54</v>
      </c>
      <c r="B20" s="3">
        <f>B12+B17+B18</f>
        <v>215.27777777777777</v>
      </c>
      <c r="C20" s="3" t="s">
        <v>163</v>
      </c>
      <c r="D20" t="s">
        <v>8</v>
      </c>
    </row>
    <row r="21" spans="1:4" x14ac:dyDescent="0.35">
      <c r="A21" t="s">
        <v>59</v>
      </c>
      <c r="B21" s="3">
        <f>(B9/(B9^B14)-B8/(B8^B14))*(B25/B27)</f>
        <v>1.1111111111111116</v>
      </c>
      <c r="C21" s="3" t="s">
        <v>164</v>
      </c>
      <c r="D21">
        <v>10</v>
      </c>
    </row>
    <row r="22" spans="1:4" x14ac:dyDescent="0.35">
      <c r="A22" t="s">
        <v>60</v>
      </c>
      <c r="B22" s="3">
        <f>(B9/(B9^B14))*(B25/B27)</f>
        <v>-0.55555555555555591</v>
      </c>
      <c r="C22" s="3" t="s">
        <v>143</v>
      </c>
      <c r="D22">
        <v>10</v>
      </c>
    </row>
    <row r="23" spans="1:4" x14ac:dyDescent="0.35">
      <c r="A23" t="s">
        <v>62</v>
      </c>
      <c r="B23" s="3">
        <f>(-B8/(B8^B15))*(B26/B27)</f>
        <v>208.33333333333326</v>
      </c>
      <c r="C23" s="3" t="s">
        <v>122</v>
      </c>
      <c r="D23">
        <v>10</v>
      </c>
    </row>
    <row r="24" spans="1:4" x14ac:dyDescent="0.35">
      <c r="A24" t="s">
        <v>64</v>
      </c>
      <c r="B24" s="1">
        <f>(B9/(B9^B15)-B8/(B8^B15))*(B26/B27)</f>
        <v>-1666.6666666666661</v>
      </c>
      <c r="C24" s="1" t="s">
        <v>165</v>
      </c>
      <c r="D24">
        <v>10</v>
      </c>
    </row>
    <row r="25" spans="1:4" x14ac:dyDescent="0.35">
      <c r="A25" t="s">
        <v>65</v>
      </c>
      <c r="B25" s="3">
        <f>(B6*B15-B6-B7*B15)</f>
        <v>-3.9999999999999994E-2</v>
      </c>
      <c r="C25" s="3" t="s">
        <v>123</v>
      </c>
      <c r="D25">
        <v>10</v>
      </c>
    </row>
    <row r="26" spans="1:4" x14ac:dyDescent="0.35">
      <c r="A26" t="s">
        <v>67</v>
      </c>
      <c r="B26" s="3">
        <f>(B6*B14-B6-B7*B14)</f>
        <v>-0.04</v>
      </c>
      <c r="C26" s="3" t="s">
        <v>68</v>
      </c>
      <c r="D26">
        <v>10</v>
      </c>
    </row>
    <row r="27" spans="1:4" x14ac:dyDescent="0.35">
      <c r="A27" t="s">
        <v>69</v>
      </c>
      <c r="B27" s="3">
        <f>(B14-B15)*B6*B7</f>
        <v>4.7999999999999996E-3</v>
      </c>
      <c r="C27" s="3" t="s">
        <v>124</v>
      </c>
      <c r="D27">
        <v>10</v>
      </c>
    </row>
    <row r="28" spans="1:4" x14ac:dyDescent="0.35">
      <c r="A28" t="s">
        <v>8</v>
      </c>
      <c r="B28" s="3" t="s">
        <v>8</v>
      </c>
      <c r="C28" s="3" t="s">
        <v>8</v>
      </c>
    </row>
    <row r="29" spans="1:4" x14ac:dyDescent="0.35">
      <c r="A29" s="25" t="s">
        <v>43</v>
      </c>
      <c r="B29" s="3">
        <f>0.5*(B5^2)*(B3^2)*B31+(B6-B7)*B3*B30-B6*B11+MIN(MAX(B8,B3),B9)</f>
        <v>0</v>
      </c>
      <c r="C29" s="3" t="s">
        <v>166</v>
      </c>
      <c r="D29">
        <v>2</v>
      </c>
    </row>
    <row r="30" spans="1:4" x14ac:dyDescent="0.35">
      <c r="A30" s="25" t="s">
        <v>71</v>
      </c>
      <c r="B30" s="9">
        <f>IF(B3&lt;B8,B14*B21*(B3^(B14-1)),IF(B3&gt;B9,B15*B24*(B3^(B15-1)),1/B7+B14*B22*(B3^(B14-1))+B15*B23*(B3^(B15-1))))</f>
        <v>11.805555555555554</v>
      </c>
      <c r="C30" s="4" t="s">
        <v>8</v>
      </c>
    </row>
    <row r="31" spans="1:4" x14ac:dyDescent="0.35">
      <c r="A31" s="25" t="s">
        <v>72</v>
      </c>
      <c r="B31" s="9">
        <f>IF(B3&lt;B8,B14*(B14-1)*B21*(B3^(B14-2)),IF(B3&gt;B9,B15*(B15-1)*B24*(B3^(B15-2)),B14*(B14-1)*B22*(B3^(B14-2))+B15*(B15-1)*B23*(B3^(B15-2))))</f>
        <v>-0.69444444444444453</v>
      </c>
      <c r="C31" s="4" t="s">
        <v>8</v>
      </c>
    </row>
    <row r="32" spans="1:4" x14ac:dyDescent="0.35">
      <c r="A32" s="25" t="s">
        <v>71</v>
      </c>
      <c r="B32" s="4" t="s">
        <v>167</v>
      </c>
    </row>
    <row r="33" spans="1:4" x14ac:dyDescent="0.35">
      <c r="A33" s="25" t="s">
        <v>72</v>
      </c>
      <c r="B33" s="40" t="s">
        <v>168</v>
      </c>
    </row>
    <row r="34" spans="1:4" x14ac:dyDescent="0.35">
      <c r="A34" s="25" t="s">
        <v>71</v>
      </c>
    </row>
    <row r="35" spans="1:4" x14ac:dyDescent="0.35">
      <c r="A35" s="25" t="s">
        <v>128</v>
      </c>
      <c r="B35" s="26">
        <f>B14*B21*(B3^(B14-1))</f>
        <v>22.222222222222225</v>
      </c>
      <c r="C35" s="26" t="s">
        <v>129</v>
      </c>
    </row>
    <row r="36" spans="1:4" x14ac:dyDescent="0.35">
      <c r="A36" s="25" t="s">
        <v>169</v>
      </c>
      <c r="B36" s="26">
        <f>1/B7+B14*B22*(B3^(B14-1))+B15*B23*(B3^(B15-1))</f>
        <v>11.805555555555554</v>
      </c>
      <c r="C36" s="26" t="s">
        <v>170</v>
      </c>
    </row>
    <row r="37" spans="1:4" x14ac:dyDescent="0.35">
      <c r="A37" s="25"/>
      <c r="B37" s="26"/>
      <c r="C37" t="s">
        <v>132</v>
      </c>
    </row>
    <row r="38" spans="1:4" x14ac:dyDescent="0.35">
      <c r="A38" s="25" t="s">
        <v>169</v>
      </c>
      <c r="B38" s="26">
        <f>1/B7</f>
        <v>25</v>
      </c>
      <c r="C38" s="26" t="s">
        <v>133</v>
      </c>
    </row>
    <row r="39" spans="1:4" x14ac:dyDescent="0.35">
      <c r="A39" s="25" t="s">
        <v>169</v>
      </c>
      <c r="B39" s="26">
        <f>B14*B22*(B3^(B14-1))</f>
        <v>-11.111111111111114</v>
      </c>
      <c r="C39" s="26" t="s">
        <v>151</v>
      </c>
    </row>
    <row r="40" spans="1:4" x14ac:dyDescent="0.35">
      <c r="A40" s="25" t="s">
        <v>169</v>
      </c>
      <c r="B40" s="26">
        <f>B15*B23*(B3^(B15-1))</f>
        <v>-2.0833333333333326</v>
      </c>
      <c r="C40" s="26" t="s">
        <v>134</v>
      </c>
      <c r="D40" s="3" t="s">
        <v>8</v>
      </c>
    </row>
    <row r="41" spans="1:4" x14ac:dyDescent="0.35">
      <c r="A41" s="25" t="s">
        <v>171</v>
      </c>
      <c r="B41" s="26">
        <f>B15*B24*(B3^(B15-1))</f>
        <v>16.666666666666661</v>
      </c>
      <c r="C41" s="26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sqref="A1:D37"/>
    </sheetView>
  </sheetViews>
  <sheetFormatPr defaultRowHeight="14.5" x14ac:dyDescent="0.35"/>
  <cols>
    <col min="1" max="1" width="16" customWidth="1"/>
    <col min="2" max="2" width="9" customWidth="1"/>
    <col min="3" max="3" width="61.81640625" customWidth="1"/>
    <col min="4" max="4" width="3.1796875" customWidth="1"/>
  </cols>
  <sheetData>
    <row r="1" spans="1:4" ht="15.5" x14ac:dyDescent="0.35">
      <c r="A1" s="20" t="s">
        <v>172</v>
      </c>
      <c r="B1" s="21"/>
      <c r="C1" s="21"/>
      <c r="D1" s="21"/>
    </row>
    <row r="2" spans="1:4" x14ac:dyDescent="0.35">
      <c r="A2" s="22" t="s">
        <v>0</v>
      </c>
      <c r="D2" t="s">
        <v>42</v>
      </c>
    </row>
    <row r="3" spans="1:4" x14ac:dyDescent="0.35">
      <c r="A3" s="16" t="s">
        <v>9</v>
      </c>
      <c r="B3" s="17">
        <v>10</v>
      </c>
      <c r="C3" s="17"/>
    </row>
    <row r="4" spans="1:4" x14ac:dyDescent="0.35">
      <c r="A4" s="16" t="s">
        <v>8</v>
      </c>
      <c r="B4" s="17" t="s">
        <v>8</v>
      </c>
      <c r="C4" s="17"/>
    </row>
    <row r="5" spans="1:4" x14ac:dyDescent="0.35">
      <c r="A5" s="10" t="s">
        <v>3</v>
      </c>
      <c r="B5" s="17">
        <v>0.2</v>
      </c>
      <c r="C5" s="17"/>
    </row>
    <row r="6" spans="1:4" x14ac:dyDescent="0.35">
      <c r="A6" s="18" t="s">
        <v>4</v>
      </c>
      <c r="B6" s="17">
        <v>0.04</v>
      </c>
      <c r="C6" s="17"/>
    </row>
    <row r="7" spans="1:4" x14ac:dyDescent="0.35">
      <c r="A7" s="10" t="s">
        <v>29</v>
      </c>
      <c r="B7" s="17">
        <v>0.04</v>
      </c>
      <c r="C7" s="17"/>
    </row>
    <row r="8" spans="1:4" ht="16.5" x14ac:dyDescent="0.45">
      <c r="A8" t="s">
        <v>107</v>
      </c>
      <c r="B8" s="6">
        <v>5</v>
      </c>
      <c r="C8" s="6"/>
    </row>
    <row r="9" spans="1:4" x14ac:dyDescent="0.35">
      <c r="A9" t="s">
        <v>8</v>
      </c>
      <c r="B9" s="5" t="s">
        <v>8</v>
      </c>
      <c r="C9" s="6"/>
    </row>
    <row r="10" spans="1:4" x14ac:dyDescent="0.35">
      <c r="A10" s="23" t="s">
        <v>5</v>
      </c>
      <c r="B10" s="16"/>
      <c r="C10" s="16"/>
    </row>
    <row r="11" spans="1:4" x14ac:dyDescent="0.35">
      <c r="A11" s="25" t="s">
        <v>108</v>
      </c>
      <c r="B11" s="5">
        <f>IF(B3&lt;B8,B8/B6+B16,B3/B7+B18)</f>
        <v>270.83333333333331</v>
      </c>
      <c r="C11" s="5" t="s">
        <v>109</v>
      </c>
      <c r="D11">
        <v>11</v>
      </c>
    </row>
    <row r="12" spans="1:4" x14ac:dyDescent="0.35">
      <c r="A12" s="25" t="s">
        <v>110</v>
      </c>
      <c r="B12" s="5">
        <f>IF(B3&lt;B8,B8/B6,B3/B7)</f>
        <v>250</v>
      </c>
      <c r="C12" s="5" t="s">
        <v>111</v>
      </c>
      <c r="D12">
        <v>11</v>
      </c>
    </row>
    <row r="13" spans="1:4" x14ac:dyDescent="0.35">
      <c r="A13" s="16" t="s">
        <v>112</v>
      </c>
      <c r="B13" s="24">
        <f>B3/B7</f>
        <v>250</v>
      </c>
      <c r="C13" s="24" t="s">
        <v>113</v>
      </c>
      <c r="D13" t="s">
        <v>8</v>
      </c>
    </row>
    <row r="14" spans="1:4" ht="15.5" x14ac:dyDescent="0.4">
      <c r="A14" s="10" t="s">
        <v>7</v>
      </c>
      <c r="B14" s="24">
        <f>0.5-(B6-B7)/(B5^2)+SQRT(((B6-B7)/(B5^2)-0.5)^2 + 2*B6/(B5^2))</f>
        <v>1.9999999999999998</v>
      </c>
      <c r="C14" s="24" t="s">
        <v>51</v>
      </c>
      <c r="D14">
        <v>4</v>
      </c>
    </row>
    <row r="15" spans="1:4" x14ac:dyDescent="0.35">
      <c r="A15" s="10" t="s">
        <v>12</v>
      </c>
      <c r="B15" s="24">
        <f>0.5-(B6-B7)/(B5^2)-SQRT(((B6-B7)/(B5^2)-0.5)^2 + 2*B6/(B5^2))</f>
        <v>-0.99999999999999978</v>
      </c>
      <c r="C15" s="24" t="s">
        <v>56</v>
      </c>
      <c r="D15">
        <v>4</v>
      </c>
    </row>
    <row r="16" spans="1:4" x14ac:dyDescent="0.35">
      <c r="A16" s="8" t="s">
        <v>114</v>
      </c>
      <c r="B16" s="5">
        <f>B21*(B3^B14)</f>
        <v>166.66666666666666</v>
      </c>
      <c r="C16" s="5" t="s">
        <v>115</v>
      </c>
      <c r="D16" t="s">
        <v>8</v>
      </c>
    </row>
    <row r="17" spans="1:4" x14ac:dyDescent="0.35">
      <c r="A17" s="8" t="s">
        <v>8</v>
      </c>
      <c r="B17" s="5" t="s">
        <v>8</v>
      </c>
      <c r="C17" s="5" t="s">
        <v>8</v>
      </c>
      <c r="D17" t="s">
        <v>8</v>
      </c>
    </row>
    <row r="18" spans="1:4" x14ac:dyDescent="0.35">
      <c r="A18" s="8" t="s">
        <v>116</v>
      </c>
      <c r="B18" s="5">
        <f>B23*(B3^B15)</f>
        <v>20.833333333333329</v>
      </c>
      <c r="C18" s="5" t="s">
        <v>117</v>
      </c>
      <c r="D18" t="s">
        <v>8</v>
      </c>
    </row>
    <row r="19" spans="1:4" x14ac:dyDescent="0.35">
      <c r="A19" s="8" t="s">
        <v>8</v>
      </c>
      <c r="B19" s="5" t="s">
        <v>118</v>
      </c>
      <c r="C19" s="5" t="s">
        <v>8</v>
      </c>
      <c r="D19" t="s">
        <v>8</v>
      </c>
    </row>
    <row r="20" spans="1:4" x14ac:dyDescent="0.35">
      <c r="A20" t="s">
        <v>8</v>
      </c>
      <c r="B20" s="3" t="s">
        <v>8</v>
      </c>
      <c r="C20" s="3" t="s">
        <v>8</v>
      </c>
      <c r="D20" t="s">
        <v>8</v>
      </c>
    </row>
    <row r="21" spans="1:4" x14ac:dyDescent="0.35">
      <c r="A21" t="s">
        <v>119</v>
      </c>
      <c r="B21" s="3">
        <f>(-B8/(B8^B14))*(B25/B27)</f>
        <v>1.6666666666666674</v>
      </c>
      <c r="C21" s="3" t="s">
        <v>120</v>
      </c>
      <c r="D21">
        <v>12</v>
      </c>
    </row>
    <row r="22" spans="1:4" x14ac:dyDescent="0.35">
      <c r="A22" t="s">
        <v>8</v>
      </c>
      <c r="B22" s="3" t="s">
        <v>8</v>
      </c>
      <c r="C22" s="3" t="s">
        <v>8</v>
      </c>
      <c r="D22" t="s">
        <v>8</v>
      </c>
    </row>
    <row r="23" spans="1:4" x14ac:dyDescent="0.35">
      <c r="A23" t="s">
        <v>121</v>
      </c>
      <c r="B23" s="3">
        <f>(-B8/(B8^B15))*(B26/B27)</f>
        <v>208.33333333333326</v>
      </c>
      <c r="C23" s="3" t="s">
        <v>122</v>
      </c>
      <c r="D23">
        <v>12</v>
      </c>
    </row>
    <row r="24" spans="1:4" x14ac:dyDescent="0.35">
      <c r="A24" t="s">
        <v>8</v>
      </c>
      <c r="B24" s="1" t="s">
        <v>8</v>
      </c>
      <c r="C24" s="1" t="s">
        <v>8</v>
      </c>
      <c r="D24" t="s">
        <v>8</v>
      </c>
    </row>
    <row r="25" spans="1:4" x14ac:dyDescent="0.35">
      <c r="A25" t="s">
        <v>65</v>
      </c>
      <c r="B25" s="3">
        <f>(B6*B15-B6-B7*B15)</f>
        <v>-3.9999999999999994E-2</v>
      </c>
      <c r="C25" s="3" t="s">
        <v>123</v>
      </c>
      <c r="D25" t="s">
        <v>8</v>
      </c>
    </row>
    <row r="26" spans="1:4" x14ac:dyDescent="0.35">
      <c r="A26" t="s">
        <v>67</v>
      </c>
      <c r="B26" s="3">
        <f>(B6*B14-B6-B7*B14)</f>
        <v>-0.04</v>
      </c>
      <c r="C26" s="3" t="s">
        <v>68</v>
      </c>
      <c r="D26" t="s">
        <v>8</v>
      </c>
    </row>
    <row r="27" spans="1:4" x14ac:dyDescent="0.35">
      <c r="A27" t="s">
        <v>69</v>
      </c>
      <c r="B27" s="3">
        <f>(B14-B15)*B6*B7</f>
        <v>4.7999999999999996E-3</v>
      </c>
      <c r="C27" s="3" t="s">
        <v>124</v>
      </c>
      <c r="D27" t="s">
        <v>8</v>
      </c>
    </row>
    <row r="28" spans="1:4" x14ac:dyDescent="0.35">
      <c r="A28" t="s">
        <v>8</v>
      </c>
      <c r="B28" s="3" t="s">
        <v>8</v>
      </c>
      <c r="C28" s="3" t="s">
        <v>8</v>
      </c>
    </row>
    <row r="29" spans="1:4" x14ac:dyDescent="0.35">
      <c r="A29" s="25" t="s">
        <v>43</v>
      </c>
      <c r="B29" s="3">
        <f>0.5*(B5^2)*(B3^2)*B31+(B6-B7)*B3*B30-B6*B11+MIN(MAX(B8,B3))</f>
        <v>0</v>
      </c>
      <c r="C29" s="3" t="s">
        <v>125</v>
      </c>
      <c r="D29" t="s">
        <v>8</v>
      </c>
    </row>
    <row r="30" spans="1:4" x14ac:dyDescent="0.35">
      <c r="A30" s="25" t="s">
        <v>71</v>
      </c>
      <c r="B30" s="26">
        <f>IF(B3&lt;B8,1/B6+B14*B21*(B3^(B14-1)),1/B7+B15*B23*(B3^(B15-1)))</f>
        <v>22.916666666666668</v>
      </c>
      <c r="C30" s="26" t="s">
        <v>126</v>
      </c>
    </row>
    <row r="31" spans="1:4" x14ac:dyDescent="0.35">
      <c r="A31" s="25" t="s">
        <v>72</v>
      </c>
      <c r="B31" s="26">
        <f>IF(B3&lt;B8,(B14-1)*B14*B21*(B3^(B14-2)),(B15-1)*B15*B23*(B3^(B15-2)))</f>
        <v>0.41666666666666641</v>
      </c>
      <c r="C31" s="26" t="s">
        <v>127</v>
      </c>
    </row>
    <row r="32" spans="1:4" x14ac:dyDescent="0.35">
      <c r="A32" s="25" t="s">
        <v>71</v>
      </c>
    </row>
    <row r="33" spans="1:3" x14ac:dyDescent="0.35">
      <c r="A33" s="25" t="s">
        <v>128</v>
      </c>
      <c r="B33" s="26">
        <f>B14*B21*(B3^(B14-1))</f>
        <v>33.333333333333336</v>
      </c>
      <c r="C33" s="26" t="s">
        <v>129</v>
      </c>
    </row>
    <row r="34" spans="1:3" x14ac:dyDescent="0.35">
      <c r="A34" s="25" t="s">
        <v>130</v>
      </c>
      <c r="B34" s="26">
        <f>1/B7+B15*B23*(B3^(B15-1))</f>
        <v>22.916666666666668</v>
      </c>
      <c r="C34" s="26" t="s">
        <v>131</v>
      </c>
    </row>
    <row r="35" spans="1:3" x14ac:dyDescent="0.35">
      <c r="A35" s="25"/>
      <c r="B35" s="26"/>
      <c r="C35" t="s">
        <v>132</v>
      </c>
    </row>
    <row r="36" spans="1:3" x14ac:dyDescent="0.35">
      <c r="A36" s="25" t="s">
        <v>130</v>
      </c>
      <c r="B36" s="26">
        <f>1/B7</f>
        <v>25</v>
      </c>
      <c r="C36" s="26" t="s">
        <v>133</v>
      </c>
    </row>
    <row r="37" spans="1:3" x14ac:dyDescent="0.35">
      <c r="A37" s="25" t="s">
        <v>130</v>
      </c>
      <c r="B37" s="26">
        <f>B15*B23*(B3^(B15-1))</f>
        <v>-2.0833333333333326</v>
      </c>
      <c r="C37" s="26" t="s">
        <v>134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workbookViewId="0">
      <selection activeCell="F22" sqref="F22:H35"/>
    </sheetView>
  </sheetViews>
  <sheetFormatPr defaultRowHeight="14.5" x14ac:dyDescent="0.35"/>
  <cols>
    <col min="1" max="1" width="10.54296875" customWidth="1"/>
    <col min="2" max="2" width="9" customWidth="1"/>
    <col min="3" max="3" width="58" customWidth="1"/>
    <col min="4" max="4" width="3.1796875" customWidth="1"/>
  </cols>
  <sheetData>
    <row r="1" spans="1:4" ht="15.5" x14ac:dyDescent="0.35">
      <c r="A1" s="20" t="s">
        <v>173</v>
      </c>
      <c r="B1" s="21"/>
      <c r="C1" s="21"/>
      <c r="D1" s="21"/>
    </row>
    <row r="2" spans="1:4" x14ac:dyDescent="0.35">
      <c r="A2" s="22" t="s">
        <v>0</v>
      </c>
      <c r="D2" t="s">
        <v>42</v>
      </c>
    </row>
    <row r="3" spans="1:4" x14ac:dyDescent="0.35">
      <c r="A3" s="16" t="s">
        <v>9</v>
      </c>
      <c r="B3" s="17">
        <v>10</v>
      </c>
      <c r="C3" s="17"/>
    </row>
    <row r="4" spans="1:4" x14ac:dyDescent="0.35">
      <c r="A4" s="16" t="s">
        <v>8</v>
      </c>
      <c r="B4" s="17" t="s">
        <v>8</v>
      </c>
      <c r="C4" s="17"/>
    </row>
    <row r="5" spans="1:4" x14ac:dyDescent="0.35">
      <c r="A5" s="10" t="s">
        <v>3</v>
      </c>
      <c r="B5" s="17">
        <v>0.2</v>
      </c>
      <c r="C5" s="17"/>
    </row>
    <row r="6" spans="1:4" x14ac:dyDescent="0.35">
      <c r="A6" s="18" t="s">
        <v>4</v>
      </c>
      <c r="B6" s="17">
        <v>0.04</v>
      </c>
      <c r="C6" s="17"/>
    </row>
    <row r="7" spans="1:4" x14ac:dyDescent="0.35">
      <c r="A7" s="10" t="s">
        <v>29</v>
      </c>
      <c r="B7" s="17">
        <v>0.04</v>
      </c>
      <c r="C7" s="17"/>
    </row>
    <row r="8" spans="1:4" x14ac:dyDescent="0.35">
      <c r="A8" t="s">
        <v>8</v>
      </c>
      <c r="B8" s="6" t="s">
        <v>8</v>
      </c>
      <c r="C8" s="6"/>
    </row>
    <row r="9" spans="1:4" ht="16.5" x14ac:dyDescent="0.45">
      <c r="A9" t="s">
        <v>135</v>
      </c>
      <c r="B9" s="5">
        <v>15</v>
      </c>
      <c r="C9" s="6"/>
    </row>
    <row r="10" spans="1:4" x14ac:dyDescent="0.35">
      <c r="A10" s="23" t="s">
        <v>5</v>
      </c>
      <c r="B10" s="16"/>
      <c r="C10" s="16"/>
    </row>
    <row r="11" spans="1:4" x14ac:dyDescent="0.35">
      <c r="A11" s="25" t="s">
        <v>136</v>
      </c>
      <c r="B11" s="5">
        <f>IF(B3&lt;B9,B3/B7+B17,B9/B6+B19)</f>
        <v>194.44444444444443</v>
      </c>
      <c r="C11" s="5" t="s">
        <v>137</v>
      </c>
      <c r="D11">
        <v>13</v>
      </c>
    </row>
    <row r="12" spans="1:4" x14ac:dyDescent="0.35">
      <c r="A12" s="25" t="s">
        <v>8</v>
      </c>
      <c r="B12" s="5" t="s">
        <v>8</v>
      </c>
      <c r="C12" s="5" t="s">
        <v>8</v>
      </c>
      <c r="D12" t="s">
        <v>8</v>
      </c>
    </row>
    <row r="13" spans="1:4" x14ac:dyDescent="0.35">
      <c r="A13" s="16" t="s">
        <v>112</v>
      </c>
      <c r="B13" s="24">
        <f>B3/B7</f>
        <v>250</v>
      </c>
      <c r="C13" s="24" t="s">
        <v>113</v>
      </c>
      <c r="D13" t="s">
        <v>8</v>
      </c>
    </row>
    <row r="14" spans="1:4" ht="15.5" x14ac:dyDescent="0.4">
      <c r="A14" s="10" t="s">
        <v>7</v>
      </c>
      <c r="B14" s="24">
        <f>0.5-(B6-B7)/(B5^2)+SQRT(((B6-B7)/(B5^2)-0.5)^2 + 2*B6/(B5^2))</f>
        <v>1.9999999999999998</v>
      </c>
      <c r="C14" s="24" t="s">
        <v>51</v>
      </c>
      <c r="D14">
        <v>4</v>
      </c>
    </row>
    <row r="15" spans="1:4" x14ac:dyDescent="0.35">
      <c r="A15" s="10" t="s">
        <v>12</v>
      </c>
      <c r="B15" s="24">
        <f>0.5-(B6-B7)/(B5^2)-SQRT(((B6-B7)/(B5^2)-0.5)^2 + 2*B6/(B5^2))</f>
        <v>-0.99999999999999978</v>
      </c>
      <c r="C15" s="24" t="s">
        <v>56</v>
      </c>
      <c r="D15">
        <v>4</v>
      </c>
    </row>
    <row r="16" spans="1:4" x14ac:dyDescent="0.35">
      <c r="A16" s="8" t="s">
        <v>8</v>
      </c>
      <c r="B16" s="5" t="s">
        <v>8</v>
      </c>
      <c r="C16" s="5" t="s">
        <v>8</v>
      </c>
      <c r="D16" t="s">
        <v>8</v>
      </c>
    </row>
    <row r="17" spans="1:4" x14ac:dyDescent="0.35">
      <c r="A17" s="8" t="s">
        <v>138</v>
      </c>
      <c r="B17" s="5">
        <f>B22*(B3^B14)</f>
        <v>-55.555555555555564</v>
      </c>
      <c r="C17" s="5" t="s">
        <v>139</v>
      </c>
      <c r="D17" t="s">
        <v>8</v>
      </c>
    </row>
    <row r="18" spans="1:4" x14ac:dyDescent="0.35">
      <c r="A18" s="8" t="s">
        <v>8</v>
      </c>
      <c r="B18" s="5" t="s">
        <v>8</v>
      </c>
      <c r="C18" s="5" t="s">
        <v>8</v>
      </c>
      <c r="D18" t="s">
        <v>8</v>
      </c>
    </row>
    <row r="19" spans="1:4" x14ac:dyDescent="0.35">
      <c r="A19" s="8" t="s">
        <v>140</v>
      </c>
      <c r="B19" s="5">
        <f>B24*(B3^B15)</f>
        <v>-187.49999999999997</v>
      </c>
      <c r="C19" s="5" t="s">
        <v>141</v>
      </c>
      <c r="D19" t="s">
        <v>8</v>
      </c>
    </row>
    <row r="20" spans="1:4" x14ac:dyDescent="0.35">
      <c r="A20" t="s">
        <v>8</v>
      </c>
      <c r="B20" s="3" t="s">
        <v>8</v>
      </c>
      <c r="C20" s="3" t="s">
        <v>8</v>
      </c>
      <c r="D20" t="s">
        <v>8</v>
      </c>
    </row>
    <row r="21" spans="1:4" x14ac:dyDescent="0.35">
      <c r="A21" t="s">
        <v>8</v>
      </c>
      <c r="B21" s="3" t="s">
        <v>8</v>
      </c>
      <c r="C21" s="3" t="s">
        <v>8</v>
      </c>
      <c r="D21" t="s">
        <v>8</v>
      </c>
    </row>
    <row r="22" spans="1:4" x14ac:dyDescent="0.35">
      <c r="A22" t="s">
        <v>142</v>
      </c>
      <c r="B22" s="3">
        <f>(B9/(B9^B14))*(B25/B27)</f>
        <v>-0.55555555555555591</v>
      </c>
      <c r="C22" s="3" t="s">
        <v>143</v>
      </c>
      <c r="D22">
        <v>14</v>
      </c>
    </row>
    <row r="23" spans="1:4" x14ac:dyDescent="0.35">
      <c r="A23" t="s">
        <v>8</v>
      </c>
      <c r="B23" s="3" t="s">
        <v>8</v>
      </c>
      <c r="C23" s="3" t="s">
        <v>8</v>
      </c>
      <c r="D23" t="s">
        <v>8</v>
      </c>
    </row>
    <row r="24" spans="1:4" x14ac:dyDescent="0.35">
      <c r="A24" t="s">
        <v>144</v>
      </c>
      <c r="B24" s="1">
        <f>(B9/(B9^B15))*(B26/B27)</f>
        <v>-1874.9999999999993</v>
      </c>
      <c r="C24" s="1" t="s">
        <v>145</v>
      </c>
      <c r="D24">
        <v>14</v>
      </c>
    </row>
    <row r="25" spans="1:4" x14ac:dyDescent="0.35">
      <c r="A25" t="s">
        <v>65</v>
      </c>
      <c r="B25" s="3">
        <f>(B6*B15-B6-B7*B15)</f>
        <v>-3.9999999999999994E-2</v>
      </c>
      <c r="C25" s="3" t="s">
        <v>123</v>
      </c>
      <c r="D25" t="s">
        <v>8</v>
      </c>
    </row>
    <row r="26" spans="1:4" x14ac:dyDescent="0.35">
      <c r="A26" t="s">
        <v>67</v>
      </c>
      <c r="B26" s="3">
        <f>(B6*B14-B6-B7*B14)</f>
        <v>-0.04</v>
      </c>
      <c r="C26" s="3" t="s">
        <v>68</v>
      </c>
      <c r="D26" t="s">
        <v>8</v>
      </c>
    </row>
    <row r="27" spans="1:4" x14ac:dyDescent="0.35">
      <c r="A27" t="s">
        <v>69</v>
      </c>
      <c r="B27" s="3">
        <f>(B14-B15)*B6*B7</f>
        <v>4.7999999999999996E-3</v>
      </c>
      <c r="C27" s="3" t="s">
        <v>124</v>
      </c>
      <c r="D27" t="s">
        <v>8</v>
      </c>
    </row>
    <row r="28" spans="1:4" x14ac:dyDescent="0.35">
      <c r="A28" t="s">
        <v>8</v>
      </c>
      <c r="B28" s="3" t="s">
        <v>8</v>
      </c>
      <c r="C28" s="3" t="s">
        <v>8</v>
      </c>
    </row>
    <row r="29" spans="1:4" x14ac:dyDescent="0.35">
      <c r="A29" s="25" t="s">
        <v>43</v>
      </c>
      <c r="B29" s="3">
        <f>0.5*(B5^2)*(B3^2)*B31+(B6-B7)*B3*B30-B6*B11+MAX(MIN(B3,B9))</f>
        <v>0</v>
      </c>
      <c r="C29" s="3" t="s">
        <v>146</v>
      </c>
      <c r="D29" t="s">
        <v>8</v>
      </c>
    </row>
    <row r="30" spans="1:4" x14ac:dyDescent="0.35">
      <c r="A30" s="25" t="s">
        <v>71</v>
      </c>
      <c r="B30" s="26">
        <f>IF(B3&lt;B9,1/B7+B14*B22*(B3^(B14-1)),1/B6+B15*B24*(B3^(B15-1)))</f>
        <v>13.888888888888886</v>
      </c>
      <c r="C30" s="26" t="s">
        <v>147</v>
      </c>
    </row>
    <row r="31" spans="1:4" x14ac:dyDescent="0.35">
      <c r="A31" s="25" t="s">
        <v>72</v>
      </c>
      <c r="B31" s="26">
        <f>IF(B3&lt;B9,(B14-1)*B14*B22*(B3^(B14-2)),(B15-1)*B15*B24*(B3^(B15-2)))</f>
        <v>-1.1111111111111109</v>
      </c>
      <c r="C31" s="9" t="s">
        <v>148</v>
      </c>
    </row>
    <row r="32" spans="1:4" x14ac:dyDescent="0.35">
      <c r="A32" s="25" t="s">
        <v>71</v>
      </c>
    </row>
    <row r="33" spans="1:3" x14ac:dyDescent="0.35">
      <c r="A33" s="25" t="s">
        <v>149</v>
      </c>
      <c r="B33" s="26">
        <f>1/B7+B14*B22*(B3^(B14-1))</f>
        <v>13.888888888888886</v>
      </c>
      <c r="C33" s="26" t="s">
        <v>150</v>
      </c>
    </row>
    <row r="34" spans="1:3" x14ac:dyDescent="0.35">
      <c r="A34" s="25"/>
      <c r="B34" s="26"/>
      <c r="C34" t="s">
        <v>132</v>
      </c>
    </row>
    <row r="35" spans="1:3" x14ac:dyDescent="0.35">
      <c r="A35" s="25" t="s">
        <v>149</v>
      </c>
      <c r="B35" s="26">
        <f>1/B7</f>
        <v>25</v>
      </c>
      <c r="C35" s="26" t="s">
        <v>133</v>
      </c>
    </row>
    <row r="36" spans="1:3" x14ac:dyDescent="0.35">
      <c r="A36" s="25" t="s">
        <v>149</v>
      </c>
      <c r="B36" s="26">
        <f>B14*B22*(B3^(B14-1))</f>
        <v>-11.111111111111114</v>
      </c>
      <c r="C36" s="26" t="s">
        <v>151</v>
      </c>
    </row>
    <row r="37" spans="1:3" x14ac:dyDescent="0.35">
      <c r="A37" s="25" t="s">
        <v>152</v>
      </c>
      <c r="B37" s="26">
        <f>B15*B24*(B3^(B15-1))</f>
        <v>18.749999999999996</v>
      </c>
      <c r="C37" s="26" t="s">
        <v>153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31" sqref="A1:D31"/>
    </sheetView>
  </sheetViews>
  <sheetFormatPr defaultRowHeight="14.5" x14ac:dyDescent="0.35"/>
  <cols>
    <col min="1" max="1" width="12" bestFit="1" customWidth="1"/>
    <col min="2" max="2" width="8.54296875" customWidth="1"/>
    <col min="3" max="3" width="58.7265625" customWidth="1"/>
  </cols>
  <sheetData>
    <row r="1" spans="1:4" ht="15.5" x14ac:dyDescent="0.35">
      <c r="A1" s="20" t="s">
        <v>73</v>
      </c>
      <c r="B1" s="21"/>
      <c r="C1" s="21"/>
      <c r="D1" s="21"/>
    </row>
    <row r="2" spans="1:4" x14ac:dyDescent="0.35">
      <c r="A2" s="22" t="s">
        <v>0</v>
      </c>
      <c r="D2" t="s">
        <v>42</v>
      </c>
    </row>
    <row r="3" spans="1:4" x14ac:dyDescent="0.35">
      <c r="A3" s="16" t="s">
        <v>9</v>
      </c>
      <c r="B3" s="17">
        <v>6</v>
      </c>
      <c r="C3" s="17"/>
    </row>
    <row r="4" spans="1:4" x14ac:dyDescent="0.35">
      <c r="A4" s="16" t="s">
        <v>2</v>
      </c>
      <c r="B4" s="17">
        <v>100</v>
      </c>
      <c r="C4" s="17"/>
    </row>
    <row r="5" spans="1:4" x14ac:dyDescent="0.35">
      <c r="A5" s="10" t="s">
        <v>3</v>
      </c>
      <c r="B5" s="17">
        <v>0.25</v>
      </c>
      <c r="C5" s="17"/>
    </row>
    <row r="6" spans="1:4" x14ac:dyDescent="0.35">
      <c r="A6" s="18" t="s">
        <v>4</v>
      </c>
      <c r="B6" s="17">
        <v>0.04</v>
      </c>
      <c r="C6" s="17"/>
    </row>
    <row r="7" spans="1:4" x14ac:dyDescent="0.35">
      <c r="A7" s="10" t="s">
        <v>29</v>
      </c>
      <c r="B7" s="17">
        <v>0.04</v>
      </c>
      <c r="C7" s="17"/>
    </row>
    <row r="8" spans="1:4" x14ac:dyDescent="0.35">
      <c r="A8" t="s">
        <v>155</v>
      </c>
      <c r="B8" s="6">
        <v>4</v>
      </c>
      <c r="C8" s="6"/>
    </row>
    <row r="9" spans="1:4" x14ac:dyDescent="0.35">
      <c r="A9" t="s">
        <v>156</v>
      </c>
      <c r="B9" s="6">
        <v>10</v>
      </c>
      <c r="C9" s="6"/>
    </row>
    <row r="10" spans="1:4" x14ac:dyDescent="0.35">
      <c r="A10" s="23" t="s">
        <v>5</v>
      </c>
      <c r="B10" s="16"/>
      <c r="C10" s="16"/>
    </row>
    <row r="11" spans="1:4" x14ac:dyDescent="0.35">
      <c r="A11" s="16" t="s">
        <v>30</v>
      </c>
      <c r="B11" s="27">
        <f>IF(B3&lt;B13,((B4/(B14-1))*(B3/B13)^B14),B12)</f>
        <v>61.897794863674804</v>
      </c>
      <c r="C11" s="24" t="s">
        <v>47</v>
      </c>
      <c r="D11">
        <v>16</v>
      </c>
    </row>
    <row r="12" spans="1:4" x14ac:dyDescent="0.35">
      <c r="A12" s="16" t="s">
        <v>174</v>
      </c>
      <c r="B12" s="24">
        <f>MAX(B3/B7-B4,0)</f>
        <v>50</v>
      </c>
      <c r="C12" s="24" t="s">
        <v>49</v>
      </c>
      <c r="D12" t="s">
        <v>8</v>
      </c>
    </row>
    <row r="13" spans="1:4" x14ac:dyDescent="0.35">
      <c r="A13" s="16" t="s">
        <v>10</v>
      </c>
      <c r="B13" s="24">
        <f>(B14/(B14-1))*B4*B7</f>
        <v>9.4279115240165563</v>
      </c>
      <c r="C13" s="24" t="s">
        <v>50</v>
      </c>
      <c r="D13">
        <v>15</v>
      </c>
    </row>
    <row r="14" spans="1:4" ht="15.5" x14ac:dyDescent="0.4">
      <c r="A14" s="10" t="s">
        <v>7</v>
      </c>
      <c r="B14" s="24">
        <f>0.5-(B6-B7)/(B5^2)+SQRT(((B6-B7)/(B5^2)-0.5)^2 + 2*B6/(B5^2))</f>
        <v>1.7369316876852983</v>
      </c>
      <c r="C14" s="24" t="s">
        <v>51</v>
      </c>
      <c r="D14">
        <v>4</v>
      </c>
    </row>
    <row r="15" spans="1:4" x14ac:dyDescent="0.35">
      <c r="A15" s="25" t="s">
        <v>52</v>
      </c>
      <c r="B15" s="3">
        <f>(B4*(B13^-B14))/(B14-1)</f>
        <v>2.7547336414741652</v>
      </c>
      <c r="C15" s="3" t="s">
        <v>53</v>
      </c>
      <c r="D15">
        <v>17</v>
      </c>
    </row>
    <row r="16" spans="1:4" x14ac:dyDescent="0.35">
      <c r="A16" s="25" t="s">
        <v>8</v>
      </c>
      <c r="B16" s="3" t="s">
        <v>8</v>
      </c>
      <c r="D16" t="s">
        <v>8</v>
      </c>
    </row>
    <row r="17" spans="1:4" x14ac:dyDescent="0.35">
      <c r="A17" s="25" t="s">
        <v>74</v>
      </c>
      <c r="B17" s="5">
        <f>IF(B3&lt;B20,B21*(B3^B14),B3/B7-B4+B23*(B3^B14)+B24*(B3^B18))</f>
        <v>38.368837269363723</v>
      </c>
      <c r="C17" s="3" t="s">
        <v>75</v>
      </c>
      <c r="D17">
        <v>22</v>
      </c>
    </row>
    <row r="18" spans="1:4" x14ac:dyDescent="0.35">
      <c r="A18" s="10" t="s">
        <v>12</v>
      </c>
      <c r="B18" s="24">
        <f>0.5-(B6-B7)/(B5^2)-SQRT(((B6-B7)/(B5^2)-0.5)^2 + 2*B6/(B5^2))</f>
        <v>-0.73693168768529826</v>
      </c>
      <c r="C18" s="24" t="s">
        <v>56</v>
      </c>
      <c r="D18">
        <v>4</v>
      </c>
    </row>
    <row r="19" spans="1:4" x14ac:dyDescent="0.35">
      <c r="A19" s="8" t="s">
        <v>175</v>
      </c>
      <c r="B19" s="24">
        <f>B20/B7-(B14/(B14-1))*B4+((B14-B18)/(B14-1))*B24*(B20^B18)</f>
        <v>0</v>
      </c>
      <c r="C19" s="24" t="s">
        <v>77</v>
      </c>
      <c r="D19">
        <v>20</v>
      </c>
    </row>
    <row r="20" spans="1:4" x14ac:dyDescent="0.35">
      <c r="A20" s="8" t="s">
        <v>10</v>
      </c>
      <c r="B20" s="24">
        <v>3.999999828338026</v>
      </c>
      <c r="C20" s="24" t="s">
        <v>78</v>
      </c>
    </row>
    <row r="21" spans="1:4" x14ac:dyDescent="0.35">
      <c r="A21" t="s">
        <v>79</v>
      </c>
      <c r="B21" s="3">
        <f>(1/(B14-B18))*((1-B18)*(B20/B7)+B18*B4)*(B20^-B14)+B23</f>
        <v>1.7862410860042586</v>
      </c>
      <c r="C21" s="3" t="s">
        <v>80</v>
      </c>
      <c r="D21">
        <v>21</v>
      </c>
    </row>
    <row r="22" spans="1:4" x14ac:dyDescent="0.35">
      <c r="A22" t="s">
        <v>8</v>
      </c>
      <c r="B22" s="3" t="s">
        <v>8</v>
      </c>
      <c r="C22" s="3" t="s">
        <v>8</v>
      </c>
      <c r="D22" t="s">
        <v>8</v>
      </c>
    </row>
    <row r="23" spans="1:4" x14ac:dyDescent="0.35">
      <c r="A23" t="s">
        <v>60</v>
      </c>
      <c r="B23" s="3">
        <f>($B$9/($B$9^B14))*(B26/B28)</f>
        <v>-1.8519642970491914</v>
      </c>
      <c r="C23" s="3" t="s">
        <v>61</v>
      </c>
      <c r="D23">
        <v>10</v>
      </c>
    </row>
    <row r="24" spans="1:4" x14ac:dyDescent="0.35">
      <c r="A24" t="s">
        <v>62</v>
      </c>
      <c r="B24" s="3">
        <f>(-$B$8/($B$8^B18))*(B27/B28)</f>
        <v>112.27973382945815</v>
      </c>
      <c r="C24" s="3" t="s">
        <v>63</v>
      </c>
      <c r="D24">
        <v>10</v>
      </c>
    </row>
    <row r="25" spans="1:4" x14ac:dyDescent="0.35">
      <c r="A25" t="s">
        <v>8</v>
      </c>
      <c r="B25" s="1" t="s">
        <v>8</v>
      </c>
      <c r="C25" s="1" t="s">
        <v>8</v>
      </c>
      <c r="D25" t="s">
        <v>8</v>
      </c>
    </row>
    <row r="26" spans="1:4" x14ac:dyDescent="0.35">
      <c r="A26" t="s">
        <v>65</v>
      </c>
      <c r="B26" s="3">
        <f>(B6*B18-B6-B7*B18)</f>
        <v>-3.9999999999999994E-2</v>
      </c>
      <c r="C26" s="3" t="s">
        <v>66</v>
      </c>
      <c r="D26">
        <v>10</v>
      </c>
    </row>
    <row r="27" spans="1:4" x14ac:dyDescent="0.35">
      <c r="A27" t="s">
        <v>67</v>
      </c>
      <c r="B27" s="3">
        <f>(B6*B14-B6-B7*B14)</f>
        <v>-0.04</v>
      </c>
      <c r="C27" s="3" t="s">
        <v>68</v>
      </c>
      <c r="D27">
        <v>10</v>
      </c>
    </row>
    <row r="28" spans="1:4" x14ac:dyDescent="0.35">
      <c r="A28" t="s">
        <v>69</v>
      </c>
      <c r="B28" s="3">
        <f>(B14-B18)*B6*B7</f>
        <v>3.9581814005929545E-3</v>
      </c>
      <c r="C28" s="3" t="s">
        <v>70</v>
      </c>
      <c r="D28">
        <v>10</v>
      </c>
    </row>
    <row r="29" spans="1:4" x14ac:dyDescent="0.35">
      <c r="A29" s="8" t="s">
        <v>160</v>
      </c>
      <c r="B29" s="5">
        <f>B23*(B3^B14)</f>
        <v>-41.612918369943102</v>
      </c>
      <c r="C29" s="5" t="s">
        <v>57</v>
      </c>
      <c r="D29" t="s">
        <v>176</v>
      </c>
    </row>
    <row r="30" spans="1:4" x14ac:dyDescent="0.35">
      <c r="A30" s="8" t="s">
        <v>161</v>
      </c>
      <c r="B30" s="5">
        <f>B24*(B3^B18)</f>
        <v>29.981755639306826</v>
      </c>
      <c r="C30" s="5" t="s">
        <v>58</v>
      </c>
    </row>
    <row r="31" spans="1:4" x14ac:dyDescent="0.35">
      <c r="A31" s="25" t="s">
        <v>74</v>
      </c>
      <c r="B31" s="3">
        <f>B12+B29+B30</f>
        <v>38.368837269363723</v>
      </c>
      <c r="C31" s="3" t="s">
        <v>81</v>
      </c>
    </row>
  </sheetData>
  <printOptions horizontalCentered="1" headings="1"/>
  <pageMargins left="0.7" right="0.7" top="0.75" bottom="0.75" header="0.3" footer="0.3"/>
  <pageSetup scale="9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4" workbookViewId="0">
      <selection activeCell="A32" sqref="A32:N32"/>
    </sheetView>
  </sheetViews>
  <sheetFormatPr defaultRowHeight="14.5" x14ac:dyDescent="0.35"/>
  <cols>
    <col min="2" max="14" width="9.26953125" bestFit="1" customWidth="1"/>
  </cols>
  <sheetData>
    <row r="1" spans="1:14" x14ac:dyDescent="0.35">
      <c r="A1" s="2" t="s">
        <v>0</v>
      </c>
      <c r="F1" t="s">
        <v>45</v>
      </c>
      <c r="L1" t="s">
        <v>46</v>
      </c>
    </row>
    <row r="2" spans="1:14" x14ac:dyDescent="0.35">
      <c r="A2" s="16" t="s">
        <v>1</v>
      </c>
      <c r="B2" s="17">
        <v>0</v>
      </c>
      <c r="C2" s="17">
        <f>B2+1</f>
        <v>1</v>
      </c>
      <c r="D2" s="17">
        <f t="shared" ref="D2:N2" si="0">C2+1</f>
        <v>2</v>
      </c>
      <c r="E2" s="17">
        <f t="shared" si="0"/>
        <v>3</v>
      </c>
      <c r="F2" s="17">
        <f t="shared" si="0"/>
        <v>4</v>
      </c>
      <c r="G2" s="17">
        <f t="shared" si="0"/>
        <v>5</v>
      </c>
      <c r="H2" s="17">
        <f t="shared" si="0"/>
        <v>6</v>
      </c>
      <c r="I2" s="17">
        <f t="shared" si="0"/>
        <v>7</v>
      </c>
      <c r="J2" s="17">
        <f t="shared" si="0"/>
        <v>8</v>
      </c>
      <c r="K2" s="17">
        <f t="shared" si="0"/>
        <v>9</v>
      </c>
      <c r="L2" s="17">
        <f t="shared" si="0"/>
        <v>10</v>
      </c>
      <c r="M2" s="17">
        <f t="shared" si="0"/>
        <v>11</v>
      </c>
      <c r="N2" s="17">
        <f t="shared" si="0"/>
        <v>12</v>
      </c>
    </row>
    <row r="3" spans="1:14" x14ac:dyDescent="0.35">
      <c r="A3" s="16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100</v>
      </c>
      <c r="J3" s="17">
        <v>100</v>
      </c>
      <c r="K3" s="17">
        <v>100</v>
      </c>
      <c r="L3" s="17">
        <v>100</v>
      </c>
      <c r="M3" s="17">
        <v>100</v>
      </c>
      <c r="N3" s="17">
        <v>100</v>
      </c>
    </row>
    <row r="4" spans="1:14" x14ac:dyDescent="0.35">
      <c r="A4" s="10" t="s">
        <v>3</v>
      </c>
      <c r="B4" s="17">
        <v>0.25</v>
      </c>
      <c r="C4" s="17">
        <v>0.25</v>
      </c>
      <c r="D4" s="17">
        <v>0.25</v>
      </c>
      <c r="E4" s="17">
        <v>0.25</v>
      </c>
      <c r="F4" s="17">
        <v>0.25</v>
      </c>
      <c r="G4" s="17">
        <v>0.25</v>
      </c>
      <c r="H4" s="17">
        <v>0.25</v>
      </c>
      <c r="I4" s="17">
        <v>0.25</v>
      </c>
      <c r="J4" s="17">
        <v>0.25</v>
      </c>
      <c r="K4" s="17">
        <v>0.25</v>
      </c>
      <c r="L4" s="17">
        <v>0.25</v>
      </c>
      <c r="M4" s="17">
        <v>0.25</v>
      </c>
      <c r="N4" s="17">
        <v>0.25</v>
      </c>
    </row>
    <row r="5" spans="1:14" x14ac:dyDescent="0.35">
      <c r="A5" s="18" t="s">
        <v>4</v>
      </c>
      <c r="B5" s="17">
        <v>0.04</v>
      </c>
      <c r="C5" s="17">
        <v>0.04</v>
      </c>
      <c r="D5" s="17">
        <v>0.04</v>
      </c>
      <c r="E5" s="17">
        <v>0.04</v>
      </c>
      <c r="F5" s="17">
        <v>0.04</v>
      </c>
      <c r="G5" s="17">
        <v>0.04</v>
      </c>
      <c r="H5" s="17">
        <v>0.04</v>
      </c>
      <c r="I5" s="17">
        <v>0.04</v>
      </c>
      <c r="J5" s="17">
        <v>0.04</v>
      </c>
      <c r="K5" s="17">
        <v>0.04</v>
      </c>
      <c r="L5" s="17">
        <v>0.04</v>
      </c>
      <c r="M5" s="17">
        <v>0.04</v>
      </c>
      <c r="N5" s="17">
        <v>0.04</v>
      </c>
    </row>
    <row r="6" spans="1:14" x14ac:dyDescent="0.35">
      <c r="A6" s="10" t="s">
        <v>29</v>
      </c>
      <c r="B6" s="17">
        <v>0.04</v>
      </c>
      <c r="C6" s="17">
        <v>0.04</v>
      </c>
      <c r="D6" s="17">
        <v>0.04</v>
      </c>
      <c r="E6" s="17">
        <v>0.04</v>
      </c>
      <c r="F6" s="17">
        <v>0.04</v>
      </c>
      <c r="G6" s="17">
        <v>0.04</v>
      </c>
      <c r="H6" s="17">
        <v>0.04</v>
      </c>
      <c r="I6" s="17">
        <v>0.04</v>
      </c>
      <c r="J6" s="17">
        <v>0.04</v>
      </c>
      <c r="K6" s="17">
        <v>0.04</v>
      </c>
      <c r="L6" s="17">
        <v>0.04</v>
      </c>
      <c r="M6" s="17">
        <v>0.04</v>
      </c>
      <c r="N6" s="17">
        <v>0.04</v>
      </c>
    </row>
    <row r="7" spans="1:14" x14ac:dyDescent="0.35">
      <c r="A7" s="18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5">
      <c r="A8" s="16" t="s">
        <v>30</v>
      </c>
      <c r="B8" s="24">
        <f>IF(B2&lt;B10,((B3/(B11-1))*(B2/B10)^B11),B9)</f>
        <v>0</v>
      </c>
      <c r="C8" s="24">
        <f t="shared" ref="C8:N8" si="1">IF(C2&lt;C10,((C3/(C11-1))*(C2/C10)^C11),C9)</f>
        <v>2.7547336414741639</v>
      </c>
      <c r="D8" s="24">
        <f t="shared" si="1"/>
        <v>9.1822296666150898</v>
      </c>
      <c r="E8" s="24">
        <f t="shared" si="1"/>
        <v>18.56977488419637</v>
      </c>
      <c r="F8" s="24">
        <f t="shared" si="1"/>
        <v>30.606712889071549</v>
      </c>
      <c r="G8" s="24">
        <f t="shared" si="1"/>
        <v>45.096492214699531</v>
      </c>
      <c r="H8" s="24">
        <f t="shared" si="1"/>
        <v>61.897794863674804</v>
      </c>
      <c r="I8" s="24">
        <f t="shared" si="1"/>
        <v>80.901612457306967</v>
      </c>
      <c r="J8" s="24">
        <f t="shared" si="1"/>
        <v>102.01997857666161</v>
      </c>
      <c r="K8" s="24">
        <f t="shared" si="1"/>
        <v>125.17963045791781</v>
      </c>
      <c r="L8" s="24">
        <f t="shared" si="1"/>
        <v>150</v>
      </c>
      <c r="M8" s="24">
        <f t="shared" si="1"/>
        <v>175</v>
      </c>
      <c r="N8" s="24">
        <f t="shared" si="1"/>
        <v>200</v>
      </c>
    </row>
    <row r="9" spans="1:14" x14ac:dyDescent="0.35">
      <c r="A9" s="16" t="s">
        <v>48</v>
      </c>
      <c r="B9" s="24">
        <f>MAX(B2/B6-B3,0)</f>
        <v>0</v>
      </c>
      <c r="C9" s="24">
        <f t="shared" ref="C9:N9" si="2">MAX(C2/C6-C3,0)</f>
        <v>0</v>
      </c>
      <c r="D9" s="2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25</v>
      </c>
      <c r="H9" s="24">
        <f t="shared" si="2"/>
        <v>50</v>
      </c>
      <c r="I9" s="24">
        <f t="shared" si="2"/>
        <v>75</v>
      </c>
      <c r="J9" s="24">
        <f t="shared" si="2"/>
        <v>100</v>
      </c>
      <c r="K9" s="24">
        <f t="shared" si="2"/>
        <v>125</v>
      </c>
      <c r="L9" s="24">
        <f t="shared" si="2"/>
        <v>150</v>
      </c>
      <c r="M9" s="24">
        <f t="shared" si="2"/>
        <v>175</v>
      </c>
      <c r="N9" s="24">
        <f t="shared" si="2"/>
        <v>200</v>
      </c>
    </row>
    <row r="10" spans="1:14" x14ac:dyDescent="0.35">
      <c r="A10" s="16" t="s">
        <v>82</v>
      </c>
      <c r="B10" s="24">
        <f>(B11/(B11-1))*B3*B6</f>
        <v>9.4279115240165563</v>
      </c>
      <c r="C10" s="24">
        <f t="shared" ref="C10:N10" si="3">(C11/(C11-1))*C3*C6</f>
        <v>9.4279115240165563</v>
      </c>
      <c r="D10" s="24">
        <f t="shared" si="3"/>
        <v>9.4279115240165563</v>
      </c>
      <c r="E10" s="24">
        <f t="shared" si="3"/>
        <v>9.4279115240165563</v>
      </c>
      <c r="F10" s="24">
        <f t="shared" si="3"/>
        <v>9.4279115240165563</v>
      </c>
      <c r="G10" s="24">
        <f t="shared" si="3"/>
        <v>9.4279115240165563</v>
      </c>
      <c r="H10" s="24">
        <f t="shared" si="3"/>
        <v>9.4279115240165563</v>
      </c>
      <c r="I10" s="24">
        <f t="shared" si="3"/>
        <v>9.4279115240165563</v>
      </c>
      <c r="J10" s="24">
        <f t="shared" si="3"/>
        <v>9.4279115240165563</v>
      </c>
      <c r="K10" s="24">
        <f t="shared" si="3"/>
        <v>9.4279115240165563</v>
      </c>
      <c r="L10" s="24">
        <f t="shared" si="3"/>
        <v>9.4279115240165563</v>
      </c>
      <c r="M10" s="24">
        <f t="shared" si="3"/>
        <v>9.4279115240165563</v>
      </c>
      <c r="N10" s="24">
        <f t="shared" si="3"/>
        <v>9.4279115240165563</v>
      </c>
    </row>
    <row r="11" spans="1:14" ht="15.5" x14ac:dyDescent="0.4">
      <c r="A11" s="10" t="s">
        <v>7</v>
      </c>
      <c r="B11" s="24">
        <f>0.5-(B5-B6)/(B4^2)+SQRT(((B5-B6)/(B4^2)-0.5)^2 + 2*B5/(B4^2))</f>
        <v>1.7369316876852983</v>
      </c>
      <c r="C11" s="24">
        <f t="shared" ref="C11:N11" si="4">0.5-(C5-C6)/(C4^2)+SQRT(((C5-C6)/(C4^2)-0.5)^2 + 2*C5/(C4^2))</f>
        <v>1.7369316876852983</v>
      </c>
      <c r="D11" s="24">
        <f t="shared" si="4"/>
        <v>1.7369316876852983</v>
      </c>
      <c r="E11" s="24">
        <f t="shared" si="4"/>
        <v>1.7369316876852983</v>
      </c>
      <c r="F11" s="24">
        <f t="shared" si="4"/>
        <v>1.7369316876852983</v>
      </c>
      <c r="G11" s="24">
        <f t="shared" si="4"/>
        <v>1.7369316876852983</v>
      </c>
      <c r="H11" s="24">
        <f t="shared" si="4"/>
        <v>1.7369316876852983</v>
      </c>
      <c r="I11" s="24">
        <f t="shared" si="4"/>
        <v>1.7369316876852983</v>
      </c>
      <c r="J11" s="24">
        <f t="shared" si="4"/>
        <v>1.7369316876852983</v>
      </c>
      <c r="K11" s="24">
        <f t="shared" si="4"/>
        <v>1.7369316876852983</v>
      </c>
      <c r="L11" s="24">
        <f t="shared" si="4"/>
        <v>1.7369316876852983</v>
      </c>
      <c r="M11" s="24">
        <f t="shared" si="4"/>
        <v>1.7369316876852983</v>
      </c>
      <c r="N11" s="24">
        <f t="shared" si="4"/>
        <v>1.7369316876852983</v>
      </c>
    </row>
    <row r="12" spans="1:14" x14ac:dyDescent="0.35">
      <c r="A12" s="25" t="s">
        <v>52</v>
      </c>
      <c r="B12" s="3">
        <f>(B3*(B10^-B11))/(B11-1)</f>
        <v>2.7547336414741652</v>
      </c>
      <c r="C12" s="3">
        <f t="shared" ref="C12:N12" si="5">(C3*(C10^-C11))/(C11-1)</f>
        <v>2.7547336414741652</v>
      </c>
      <c r="D12" s="3">
        <f t="shared" si="5"/>
        <v>2.7547336414741652</v>
      </c>
      <c r="E12" s="3">
        <f t="shared" si="5"/>
        <v>2.7547336414741652</v>
      </c>
      <c r="F12" s="3">
        <f t="shared" si="5"/>
        <v>2.7547336414741652</v>
      </c>
      <c r="G12" s="3">
        <f t="shared" si="5"/>
        <v>2.7547336414741652</v>
      </c>
      <c r="H12" s="3">
        <f t="shared" si="5"/>
        <v>2.7547336414741652</v>
      </c>
      <c r="I12" s="3">
        <f t="shared" si="5"/>
        <v>2.7547336414741652</v>
      </c>
      <c r="J12" s="3">
        <f t="shared" si="5"/>
        <v>2.7547336414741652</v>
      </c>
      <c r="K12" s="3">
        <f t="shared" si="5"/>
        <v>2.7547336414741652</v>
      </c>
      <c r="L12" s="3">
        <f t="shared" si="5"/>
        <v>2.7547336414741652</v>
      </c>
      <c r="M12" s="3">
        <f t="shared" si="5"/>
        <v>2.7547336414741652</v>
      </c>
      <c r="N12" s="3">
        <f t="shared" si="5"/>
        <v>2.7547336414741652</v>
      </c>
    </row>
    <row r="13" spans="1:14" x14ac:dyDescent="0.35">
      <c r="A13" s="25" t="s">
        <v>54</v>
      </c>
      <c r="B13" s="3">
        <f>IF(B2&lt;$F$2,$F$2/B5+B20*(B2^B11),IF(B2&gt;$L$2,$L$2/B5+B23*(B2^B18),B2/B6+B21*(B2^B11)+B22*(B2^B18)))</f>
        <v>100</v>
      </c>
      <c r="C13" s="3">
        <f t="shared" ref="C13:N13" si="6">IF(C2&lt;$F$2,$F$2/C5+C20*(C2^C11),IF(C2&gt;$L$2,$L$2/C5+C23*(C2^C18),C2/C6+C21*(C2^C11)+C22*(C2^C18)))</f>
        <v>101.78624108600427</v>
      </c>
      <c r="D13" s="3">
        <f t="shared" si="6"/>
        <v>105.95399701978371</v>
      </c>
      <c r="E13" s="3">
        <f t="shared" si="6"/>
        <v>112.04112599367356</v>
      </c>
      <c r="F13" s="3">
        <f t="shared" si="6"/>
        <v>119.84619029836195</v>
      </c>
      <c r="G13" s="3">
        <f t="shared" si="6"/>
        <v>128.97555149659024</v>
      </c>
      <c r="H13" s="3">
        <f t="shared" si="6"/>
        <v>138.36883726936372</v>
      </c>
      <c r="I13" s="3">
        <f t="shared" si="6"/>
        <v>147.37331491517088</v>
      </c>
      <c r="J13" s="3">
        <f t="shared" si="6"/>
        <v>155.66769822387505</v>
      </c>
      <c r="K13" s="3">
        <f t="shared" si="6"/>
        <v>163.081392525821</v>
      </c>
      <c r="L13" s="3">
        <f t="shared" si="6"/>
        <v>169.51990344255483</v>
      </c>
      <c r="M13" s="3">
        <f t="shared" si="6"/>
        <v>174.97864439063409</v>
      </c>
      <c r="N13" s="3">
        <f t="shared" si="6"/>
        <v>179.63813869296303</v>
      </c>
    </row>
    <row r="14" spans="1:14" x14ac:dyDescent="0.35">
      <c r="A14" s="25" t="s">
        <v>83</v>
      </c>
      <c r="B14" s="3">
        <f>IF(B2&lt;$F$2,B20*(B2^B11),(IF(B2&gt;$L$2,B23*(B2^B18)),B21*(B2^B11)+B22*(B2^B18)))</f>
        <v>0</v>
      </c>
      <c r="C14" s="3">
        <f>IF(C2&lt;$F$2,C20*(C2^C11),(IF(C2&gt;$L$2,C23*(C2^C18)),C21*(C2^C11)+C22*(C2^C18)))</f>
        <v>1.7862410860042626</v>
      </c>
      <c r="D14" s="3">
        <f>IF(D2&lt;$F$2,D20*(D2^D11),(IF(D2&gt;$L$2,D23*(D2^D18)),D21*(D2^D11)+D22*(D2^D18)))</f>
        <v>5.9539970197837091</v>
      </c>
      <c r="E14" s="3">
        <f>IF(E2&lt;$F$2,E20*(E2^E11),(IF(E2&gt;$L$2,E23*(E2^E18)),E21*(E2^E11)+E22*(E2^E18)))</f>
        <v>12.041125993673566</v>
      </c>
      <c r="F14" s="3">
        <f>IF(F2&lt;$F$2,F20*(F2^F11),IF(F2&gt;=$L$2,F23*(F2^F18),F21*(F2^F11)+F22*(F2^F18)))</f>
        <v>19.84619029836195</v>
      </c>
      <c r="G14" s="3">
        <f t="shared" ref="G14:N14" si="7">IF(G2&lt;$F$2,G20*(G2^G11),IF(G2&gt;=$L$2,G23*(G2^G18),G21*(G2^G11)+G22*(G2^G18)))</f>
        <v>3.9755514965902385</v>
      </c>
      <c r="H14" s="3">
        <f t="shared" si="7"/>
        <v>-11.631162730636277</v>
      </c>
      <c r="I14" s="3">
        <f t="shared" si="7"/>
        <v>-27.626685084829106</v>
      </c>
      <c r="J14" s="3">
        <f t="shared" si="7"/>
        <v>-44.33230177612495</v>
      </c>
      <c r="K14" s="3">
        <f t="shared" si="7"/>
        <v>-61.918607474178984</v>
      </c>
      <c r="L14" s="3">
        <f t="shared" si="7"/>
        <v>-80.480096557445179</v>
      </c>
      <c r="M14" s="3">
        <f t="shared" si="7"/>
        <v>-75.021355609365898</v>
      </c>
      <c r="N14" s="3">
        <f t="shared" si="7"/>
        <v>-70.361861307036989</v>
      </c>
    </row>
    <row r="15" spans="1:14" x14ac:dyDescent="0.35">
      <c r="A15" s="16" t="s">
        <v>32</v>
      </c>
      <c r="B15" s="24">
        <f t="shared" ref="B15:N15" si="8">IF(B2&gt;B17,(-B3/(B18-1))*(B2/B17)^B18,B16)</f>
        <v>100</v>
      </c>
      <c r="C15" s="24">
        <f t="shared" si="8"/>
        <v>75</v>
      </c>
      <c r="D15" s="24">
        <f t="shared" si="8"/>
        <v>51.009989288330821</v>
      </c>
      <c r="E15" s="24">
        <f t="shared" si="8"/>
        <v>37.834500406543242</v>
      </c>
      <c r="F15" s="24">
        <f t="shared" si="8"/>
        <v>30.606712889071552</v>
      </c>
      <c r="G15" s="24">
        <f t="shared" si="8"/>
        <v>25.965735578007759</v>
      </c>
      <c r="H15" s="24">
        <f t="shared" si="8"/>
        <v>22.701233766175971</v>
      </c>
      <c r="I15" s="24">
        <f t="shared" si="8"/>
        <v>20.263490176351084</v>
      </c>
      <c r="J15" s="24">
        <f t="shared" si="8"/>
        <v>18.36445933323019</v>
      </c>
      <c r="K15" s="24">
        <f t="shared" si="8"/>
        <v>16.837679249462223</v>
      </c>
      <c r="L15" s="24">
        <f t="shared" si="8"/>
        <v>15.579807501967805</v>
      </c>
      <c r="M15" s="24">
        <f t="shared" si="8"/>
        <v>14.523072522612008</v>
      </c>
      <c r="N15" s="24">
        <f t="shared" si="8"/>
        <v>13.621060380579047</v>
      </c>
    </row>
    <row r="16" spans="1:14" x14ac:dyDescent="0.35">
      <c r="A16" s="16" t="s">
        <v>84</v>
      </c>
      <c r="B16" s="3">
        <f>MAX(B3-B2/B6,0)</f>
        <v>100</v>
      </c>
      <c r="C16" s="3">
        <f t="shared" ref="C16:N16" si="9">MAX(C3-C2/C6,0)</f>
        <v>75</v>
      </c>
      <c r="D16" s="3">
        <f t="shared" si="9"/>
        <v>50</v>
      </c>
      <c r="E16" s="3">
        <f t="shared" si="9"/>
        <v>25</v>
      </c>
      <c r="F16" s="3">
        <f t="shared" si="9"/>
        <v>0</v>
      </c>
      <c r="G16" s="3">
        <f t="shared" si="9"/>
        <v>0</v>
      </c>
      <c r="H16" s="3">
        <f t="shared" si="9"/>
        <v>0</v>
      </c>
      <c r="I16" s="3">
        <f t="shared" si="9"/>
        <v>0</v>
      </c>
      <c r="J16" s="3">
        <f t="shared" si="9"/>
        <v>0</v>
      </c>
      <c r="K16" s="3">
        <f t="shared" si="9"/>
        <v>0</v>
      </c>
      <c r="L16" s="3">
        <f t="shared" si="9"/>
        <v>0</v>
      </c>
      <c r="M16" s="3">
        <f t="shared" si="9"/>
        <v>0</v>
      </c>
      <c r="N16" s="3">
        <f t="shared" si="9"/>
        <v>0</v>
      </c>
    </row>
    <row r="17" spans="1:14" x14ac:dyDescent="0.35">
      <c r="A17" s="16" t="s">
        <v>82</v>
      </c>
      <c r="B17" s="28">
        <f>(B18/(B18-1))*B3*B6</f>
        <v>1.6970884759834435</v>
      </c>
      <c r="C17" s="28">
        <f t="shared" ref="C17:N17" si="10">(C18/(C18-1))*C3*C6</f>
        <v>1.6970884759834435</v>
      </c>
      <c r="D17" s="28">
        <f t="shared" si="10"/>
        <v>1.6970884759834435</v>
      </c>
      <c r="E17" s="28">
        <f t="shared" si="10"/>
        <v>1.6970884759834435</v>
      </c>
      <c r="F17" s="28">
        <f t="shared" si="10"/>
        <v>1.6970884759834435</v>
      </c>
      <c r="G17" s="28">
        <f t="shared" si="10"/>
        <v>1.6970884759834435</v>
      </c>
      <c r="H17" s="28">
        <f t="shared" si="10"/>
        <v>1.6970884759834435</v>
      </c>
      <c r="I17" s="28">
        <f t="shared" si="10"/>
        <v>1.6970884759834435</v>
      </c>
      <c r="J17" s="28">
        <f t="shared" si="10"/>
        <v>1.6970884759834435</v>
      </c>
      <c r="K17" s="28">
        <f t="shared" si="10"/>
        <v>1.6970884759834435</v>
      </c>
      <c r="L17" s="28">
        <f t="shared" si="10"/>
        <v>1.6970884759834435</v>
      </c>
      <c r="M17" s="28">
        <f t="shared" si="10"/>
        <v>1.6970884759834435</v>
      </c>
      <c r="N17" s="28">
        <f t="shared" si="10"/>
        <v>1.6970884759834435</v>
      </c>
    </row>
    <row r="18" spans="1:14" x14ac:dyDescent="0.35">
      <c r="A18" s="10" t="s">
        <v>12</v>
      </c>
      <c r="B18" s="24">
        <f>0.5-(B5-B6)/(B4^2)-SQRT(((B5-B6)/(B4^2)-0.5)^2 + 2*B5/(B4^2))</f>
        <v>-0.73693168768529826</v>
      </c>
      <c r="C18" s="24">
        <f t="shared" ref="C18:N18" si="11">0.5-(C5-C6)/(C4^2)-SQRT(((C5-C6)/(C4^2)-0.5)^2 + 2*C5/(C4^2))</f>
        <v>-0.73693168768529826</v>
      </c>
      <c r="D18" s="24">
        <f t="shared" si="11"/>
        <v>-0.73693168768529826</v>
      </c>
      <c r="E18" s="24">
        <f t="shared" si="11"/>
        <v>-0.73693168768529826</v>
      </c>
      <c r="F18" s="24">
        <f t="shared" si="11"/>
        <v>-0.73693168768529826</v>
      </c>
      <c r="G18" s="24">
        <f t="shared" si="11"/>
        <v>-0.73693168768529826</v>
      </c>
      <c r="H18" s="24">
        <f t="shared" si="11"/>
        <v>-0.73693168768529826</v>
      </c>
      <c r="I18" s="24">
        <f t="shared" si="11"/>
        <v>-0.73693168768529826</v>
      </c>
      <c r="J18" s="24">
        <f t="shared" si="11"/>
        <v>-0.73693168768529826</v>
      </c>
      <c r="K18" s="24">
        <f t="shared" si="11"/>
        <v>-0.73693168768529826</v>
      </c>
      <c r="L18" s="24">
        <f t="shared" si="11"/>
        <v>-0.73693168768529826</v>
      </c>
      <c r="M18" s="24">
        <f t="shared" si="11"/>
        <v>-0.73693168768529826</v>
      </c>
      <c r="N18" s="24">
        <f t="shared" si="11"/>
        <v>-0.73693168768529826</v>
      </c>
    </row>
    <row r="19" spans="1:14" x14ac:dyDescent="0.35"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</row>
    <row r="20" spans="1:14" x14ac:dyDescent="0.35">
      <c r="A20" t="s">
        <v>59</v>
      </c>
      <c r="B20" s="3">
        <f>($L$2/($L$2^B11)-$F$2/($F$2^B11))*(B24/B26)</f>
        <v>1.7862410860042626</v>
      </c>
      <c r="C20" s="3">
        <f t="shared" ref="C20:N20" si="12">($L$2/($L$2^C11)-$F$2/($F$2^C11))*(C24/C26)</f>
        <v>1.7862410860042626</v>
      </c>
      <c r="D20" s="3">
        <f t="shared" si="12"/>
        <v>1.7862410860042626</v>
      </c>
      <c r="E20" s="3">
        <f t="shared" si="12"/>
        <v>1.7862410860042626</v>
      </c>
      <c r="F20" s="5">
        <f t="shared" si="12"/>
        <v>1.7862410860042626</v>
      </c>
      <c r="G20" s="3">
        <f t="shared" si="12"/>
        <v>1.7862410860042626</v>
      </c>
      <c r="H20" s="3">
        <f t="shared" si="12"/>
        <v>1.7862410860042626</v>
      </c>
      <c r="I20" s="3">
        <f t="shared" si="12"/>
        <v>1.7862410860042626</v>
      </c>
      <c r="J20" s="3">
        <f t="shared" si="12"/>
        <v>1.7862410860042626</v>
      </c>
      <c r="K20" s="3">
        <f t="shared" si="12"/>
        <v>1.7862410860042626</v>
      </c>
      <c r="L20" s="3">
        <f t="shared" si="12"/>
        <v>1.7862410860042626</v>
      </c>
      <c r="M20" s="3">
        <f t="shared" si="12"/>
        <v>1.7862410860042626</v>
      </c>
      <c r="N20" s="3">
        <f t="shared" si="12"/>
        <v>1.7862410860042626</v>
      </c>
    </row>
    <row r="21" spans="1:14" x14ac:dyDescent="0.35">
      <c r="A21" t="s">
        <v>60</v>
      </c>
      <c r="B21" s="3">
        <f>($L$2/($L$2^B11))*(B24/B26)</f>
        <v>-1.8519642970491914</v>
      </c>
      <c r="C21" s="3">
        <f t="shared" ref="C21:N21" si="13">($L$2/($L$2^C11))*(C24/C26)</f>
        <v>-1.8519642970491914</v>
      </c>
      <c r="D21" s="3">
        <f t="shared" si="13"/>
        <v>-1.8519642970491914</v>
      </c>
      <c r="E21" s="3">
        <f t="shared" si="13"/>
        <v>-1.8519642970491914</v>
      </c>
      <c r="F21" s="5">
        <f t="shared" si="13"/>
        <v>-1.8519642970491914</v>
      </c>
      <c r="G21" s="3">
        <f t="shared" si="13"/>
        <v>-1.8519642970491914</v>
      </c>
      <c r="H21" s="3">
        <f t="shared" si="13"/>
        <v>-1.8519642970491914</v>
      </c>
      <c r="I21" s="3">
        <f t="shared" si="13"/>
        <v>-1.8519642970491914</v>
      </c>
      <c r="J21" s="3">
        <f t="shared" si="13"/>
        <v>-1.8519642970491914</v>
      </c>
      <c r="K21" s="3">
        <f t="shared" si="13"/>
        <v>-1.8519642970491914</v>
      </c>
      <c r="L21" s="3">
        <f t="shared" si="13"/>
        <v>-1.8519642970491914</v>
      </c>
      <c r="M21" s="3">
        <f t="shared" si="13"/>
        <v>-1.8519642970491914</v>
      </c>
      <c r="N21" s="3">
        <f t="shared" si="13"/>
        <v>-1.8519642970491914</v>
      </c>
    </row>
    <row r="22" spans="1:14" x14ac:dyDescent="0.35">
      <c r="A22" t="s">
        <v>62</v>
      </c>
      <c r="B22" s="3">
        <f>(-$F$2/($F$2^B18))*(B25/B26)</f>
        <v>112.27973382945815</v>
      </c>
      <c r="C22" s="3">
        <f t="shared" ref="C22:N22" si="14">(-$F$2/($F$2^C18))*(C25/C26)</f>
        <v>112.27973382945815</v>
      </c>
      <c r="D22" s="3">
        <f t="shared" si="14"/>
        <v>112.27973382945815</v>
      </c>
      <c r="E22" s="3">
        <f t="shared" si="14"/>
        <v>112.27973382945815</v>
      </c>
      <c r="F22" s="5">
        <f t="shared" si="14"/>
        <v>112.27973382945815</v>
      </c>
      <c r="G22" s="3">
        <f t="shared" si="14"/>
        <v>112.27973382945815</v>
      </c>
      <c r="H22" s="3">
        <f t="shared" si="14"/>
        <v>112.27973382945815</v>
      </c>
      <c r="I22" s="3">
        <f t="shared" si="14"/>
        <v>112.27973382945815</v>
      </c>
      <c r="J22" s="3">
        <f t="shared" si="14"/>
        <v>112.27973382945815</v>
      </c>
      <c r="K22" s="3">
        <f t="shared" si="14"/>
        <v>112.27973382945815</v>
      </c>
      <c r="L22" s="3">
        <f t="shared" si="14"/>
        <v>112.27973382945815</v>
      </c>
      <c r="M22" s="3">
        <f t="shared" si="14"/>
        <v>112.27973382945815</v>
      </c>
      <c r="N22" s="3">
        <f t="shared" si="14"/>
        <v>112.27973382945815</v>
      </c>
    </row>
    <row r="23" spans="1:14" x14ac:dyDescent="0.35">
      <c r="A23" t="s">
        <v>64</v>
      </c>
      <c r="B23" s="3">
        <f>($L$2/($L$2^B18)-$F$2/($F$2^B18))*(B25/B26)</f>
        <v>-439.15737092064109</v>
      </c>
      <c r="C23" s="3">
        <f t="shared" ref="C23:N23" si="15">($L$2/($L$2^C18)-$F$2/($F$2^C18))*(C25/C26)</f>
        <v>-439.15737092064109</v>
      </c>
      <c r="D23" s="3">
        <f t="shared" si="15"/>
        <v>-439.15737092064109</v>
      </c>
      <c r="E23" s="3">
        <f t="shared" si="15"/>
        <v>-439.15737092064109</v>
      </c>
      <c r="F23" s="5">
        <f t="shared" si="15"/>
        <v>-439.15737092064109</v>
      </c>
      <c r="G23" s="3">
        <f t="shared" si="15"/>
        <v>-439.15737092064109</v>
      </c>
      <c r="H23" s="3">
        <f t="shared" si="15"/>
        <v>-439.15737092064109</v>
      </c>
      <c r="I23" s="3">
        <f t="shared" si="15"/>
        <v>-439.15737092064109</v>
      </c>
      <c r="J23" s="3">
        <f t="shared" si="15"/>
        <v>-439.15737092064109</v>
      </c>
      <c r="K23" s="3">
        <f t="shared" si="15"/>
        <v>-439.15737092064109</v>
      </c>
      <c r="L23" s="3">
        <f t="shared" si="15"/>
        <v>-439.15737092064109</v>
      </c>
      <c r="M23" s="3">
        <f t="shared" si="15"/>
        <v>-439.15737092064109</v>
      </c>
      <c r="N23" s="3">
        <f t="shared" si="15"/>
        <v>-439.15737092064109</v>
      </c>
    </row>
    <row r="24" spans="1:14" x14ac:dyDescent="0.35">
      <c r="A24" t="s">
        <v>65</v>
      </c>
      <c r="B24" s="3">
        <f>(B5*B18-B5-B6*B18)</f>
        <v>-3.9999999999999994E-2</v>
      </c>
      <c r="C24" s="3">
        <f t="shared" ref="C24:N24" si="16">(C5*C18-C5-C6*C18)</f>
        <v>-3.9999999999999994E-2</v>
      </c>
      <c r="D24" s="3">
        <f t="shared" si="16"/>
        <v>-3.9999999999999994E-2</v>
      </c>
      <c r="E24" s="3">
        <f t="shared" si="16"/>
        <v>-3.9999999999999994E-2</v>
      </c>
      <c r="F24" s="3">
        <f t="shared" si="16"/>
        <v>-3.9999999999999994E-2</v>
      </c>
      <c r="G24" s="3">
        <f t="shared" si="16"/>
        <v>-3.9999999999999994E-2</v>
      </c>
      <c r="H24" s="3">
        <f t="shared" si="16"/>
        <v>-3.9999999999999994E-2</v>
      </c>
      <c r="I24" s="3">
        <f t="shared" si="16"/>
        <v>-3.9999999999999994E-2</v>
      </c>
      <c r="J24" s="3">
        <f t="shared" si="16"/>
        <v>-3.9999999999999994E-2</v>
      </c>
      <c r="K24" s="3">
        <f t="shared" si="16"/>
        <v>-3.9999999999999994E-2</v>
      </c>
      <c r="L24" s="3">
        <f t="shared" si="16"/>
        <v>-3.9999999999999994E-2</v>
      </c>
      <c r="M24" s="3">
        <f t="shared" si="16"/>
        <v>-3.9999999999999994E-2</v>
      </c>
      <c r="N24" s="3">
        <f t="shared" si="16"/>
        <v>-3.9999999999999994E-2</v>
      </c>
    </row>
    <row r="25" spans="1:14" x14ac:dyDescent="0.35">
      <c r="A25" t="s">
        <v>85</v>
      </c>
      <c r="B25" s="3">
        <f>(B5*B11-B5-B6*B11)</f>
        <v>-0.04</v>
      </c>
      <c r="C25" s="3">
        <f t="shared" ref="C25:N25" si="17">(C5*C11-C5-C6*C11)</f>
        <v>-0.04</v>
      </c>
      <c r="D25" s="3">
        <f t="shared" si="17"/>
        <v>-0.04</v>
      </c>
      <c r="E25" s="3">
        <f t="shared" si="17"/>
        <v>-0.04</v>
      </c>
      <c r="F25" s="3">
        <f t="shared" si="17"/>
        <v>-0.04</v>
      </c>
      <c r="G25" s="3">
        <f t="shared" si="17"/>
        <v>-0.04</v>
      </c>
      <c r="H25" s="3">
        <f t="shared" si="17"/>
        <v>-0.04</v>
      </c>
      <c r="I25" s="3">
        <f t="shared" si="17"/>
        <v>-0.04</v>
      </c>
      <c r="J25" s="3">
        <f t="shared" si="17"/>
        <v>-0.04</v>
      </c>
      <c r="K25" s="3">
        <f t="shared" si="17"/>
        <v>-0.04</v>
      </c>
      <c r="L25" s="3">
        <f t="shared" si="17"/>
        <v>-0.04</v>
      </c>
      <c r="M25" s="3">
        <f t="shared" si="17"/>
        <v>-0.04</v>
      </c>
      <c r="N25" s="3">
        <f t="shared" si="17"/>
        <v>-0.04</v>
      </c>
    </row>
    <row r="26" spans="1:14" x14ac:dyDescent="0.35">
      <c r="A26" t="s">
        <v>69</v>
      </c>
      <c r="B26" s="3">
        <f>(B11-B18)*B5*B6</f>
        <v>3.9581814005929545E-3</v>
      </c>
      <c r="C26" s="3">
        <f t="shared" ref="C26:N26" si="18">(C11-C18)*C5*C6</f>
        <v>3.9581814005929545E-3</v>
      </c>
      <c r="D26" s="3">
        <f t="shared" si="18"/>
        <v>3.9581814005929545E-3</v>
      </c>
      <c r="E26" s="3">
        <f t="shared" si="18"/>
        <v>3.9581814005929545E-3</v>
      </c>
      <c r="F26" s="3">
        <f t="shared" si="18"/>
        <v>3.9581814005929545E-3</v>
      </c>
      <c r="G26" s="3">
        <f t="shared" si="18"/>
        <v>3.9581814005929545E-3</v>
      </c>
      <c r="H26" s="3">
        <f t="shared" si="18"/>
        <v>3.9581814005929545E-3</v>
      </c>
      <c r="I26" s="3">
        <f t="shared" si="18"/>
        <v>3.9581814005929545E-3</v>
      </c>
      <c r="J26" s="3">
        <f t="shared" si="18"/>
        <v>3.9581814005929545E-3</v>
      </c>
      <c r="K26" s="3">
        <f t="shared" si="18"/>
        <v>3.9581814005929545E-3</v>
      </c>
      <c r="L26" s="3">
        <f t="shared" si="18"/>
        <v>3.9581814005929545E-3</v>
      </c>
      <c r="M26" s="3">
        <f t="shared" si="18"/>
        <v>3.9581814005929545E-3</v>
      </c>
      <c r="N26" s="3">
        <f t="shared" si="18"/>
        <v>3.9581814005929545E-3</v>
      </c>
    </row>
    <row r="27" spans="1:14" x14ac:dyDescent="0.35">
      <c r="A27" s="25" t="s">
        <v>52</v>
      </c>
      <c r="B27" s="3" t="s">
        <v>86</v>
      </c>
    </row>
    <row r="28" spans="1:14" x14ac:dyDescent="0.35">
      <c r="A28" s="25" t="s">
        <v>54</v>
      </c>
      <c r="B28" s="3" t="s">
        <v>87</v>
      </c>
    </row>
    <row r="29" spans="1:14" x14ac:dyDescent="0.35">
      <c r="A29" s="25" t="s">
        <v>83</v>
      </c>
      <c r="B29" s="3" t="s">
        <v>88</v>
      </c>
    </row>
    <row r="30" spans="1:14" x14ac:dyDescent="0.35">
      <c r="A30" s="25" t="str">
        <f>A2</f>
        <v>P</v>
      </c>
      <c r="B30" s="25">
        <f t="shared" ref="B30:N30" si="19">B2</f>
        <v>0</v>
      </c>
      <c r="C30" s="25">
        <f t="shared" si="19"/>
        <v>1</v>
      </c>
      <c r="D30" s="25">
        <f t="shared" si="19"/>
        <v>2</v>
      </c>
      <c r="E30" s="25">
        <f t="shared" si="19"/>
        <v>3</v>
      </c>
      <c r="F30" s="25">
        <f t="shared" si="19"/>
        <v>4</v>
      </c>
      <c r="G30" s="25">
        <f t="shared" si="19"/>
        <v>5</v>
      </c>
      <c r="H30" s="25">
        <f t="shared" si="19"/>
        <v>6</v>
      </c>
      <c r="I30" s="25">
        <f t="shared" si="19"/>
        <v>7</v>
      </c>
      <c r="J30" s="25">
        <f t="shared" si="19"/>
        <v>8</v>
      </c>
      <c r="K30" s="25">
        <f t="shared" si="19"/>
        <v>9</v>
      </c>
      <c r="L30" s="25">
        <f t="shared" si="19"/>
        <v>10</v>
      </c>
      <c r="M30" s="25">
        <f t="shared" si="19"/>
        <v>11</v>
      </c>
      <c r="N30" s="25">
        <f t="shared" si="19"/>
        <v>12</v>
      </c>
    </row>
    <row r="31" spans="1:14" x14ac:dyDescent="0.35">
      <c r="A31" s="25" t="s">
        <v>55</v>
      </c>
      <c r="B31" s="3">
        <f>$F$2/B5</f>
        <v>100</v>
      </c>
      <c r="C31" s="3">
        <f t="shared" ref="C31:E31" si="20">$F$2/C5</f>
        <v>100</v>
      </c>
      <c r="D31" s="3">
        <f t="shared" si="20"/>
        <v>100</v>
      </c>
      <c r="E31" s="3">
        <f t="shared" si="20"/>
        <v>100</v>
      </c>
      <c r="F31" s="3">
        <f>F2/F6</f>
        <v>100</v>
      </c>
      <c r="G31" s="3">
        <f t="shared" ref="G31:K31" si="21">G2/G6</f>
        <v>125</v>
      </c>
      <c r="H31" s="3">
        <f t="shared" si="21"/>
        <v>150</v>
      </c>
      <c r="I31" s="3">
        <f t="shared" si="21"/>
        <v>175</v>
      </c>
      <c r="J31" s="3">
        <f t="shared" si="21"/>
        <v>200</v>
      </c>
      <c r="K31" s="3">
        <f t="shared" si="21"/>
        <v>225</v>
      </c>
      <c r="L31" s="3">
        <f>$L$2/L5</f>
        <v>250</v>
      </c>
      <c r="M31" s="3">
        <f t="shared" ref="M31:N31" si="22">$L$2/M5</f>
        <v>250</v>
      </c>
      <c r="N31" s="3">
        <f t="shared" si="22"/>
        <v>250</v>
      </c>
    </row>
    <row r="32" spans="1:14" x14ac:dyDescent="0.35">
      <c r="A32" s="25" t="s">
        <v>89</v>
      </c>
      <c r="B32" s="3">
        <f>B13</f>
        <v>100</v>
      </c>
      <c r="C32" s="3">
        <f t="shared" ref="C32:N32" si="23">C13</f>
        <v>101.78624108600427</v>
      </c>
      <c r="D32" s="3">
        <f t="shared" si="23"/>
        <v>105.95399701978371</v>
      </c>
      <c r="E32" s="3">
        <f t="shared" si="23"/>
        <v>112.04112599367356</v>
      </c>
      <c r="F32" s="3">
        <f t="shared" si="23"/>
        <v>119.84619029836195</v>
      </c>
      <c r="G32" s="3">
        <f t="shared" si="23"/>
        <v>128.97555149659024</v>
      </c>
      <c r="H32" s="3">
        <f t="shared" si="23"/>
        <v>138.36883726936372</v>
      </c>
      <c r="I32" s="3">
        <f t="shared" si="23"/>
        <v>147.37331491517088</v>
      </c>
      <c r="J32" s="3">
        <f t="shared" si="23"/>
        <v>155.66769822387505</v>
      </c>
      <c r="K32" s="3">
        <f t="shared" si="23"/>
        <v>163.081392525821</v>
      </c>
      <c r="L32" s="3">
        <f t="shared" si="23"/>
        <v>169.51990344255483</v>
      </c>
      <c r="M32" s="3">
        <f t="shared" si="23"/>
        <v>174.97864439063409</v>
      </c>
      <c r="N32" s="3">
        <f t="shared" si="23"/>
        <v>179.63813869296303</v>
      </c>
    </row>
    <row r="33" spans="1:14" x14ac:dyDescent="0.35">
      <c r="A33" s="25" t="s">
        <v>83</v>
      </c>
      <c r="B33" s="3">
        <f>B20*(B2^B11)</f>
        <v>0</v>
      </c>
      <c r="C33" s="3">
        <f>C20*(C2^C11)</f>
        <v>1.7862410860042626</v>
      </c>
      <c r="D33" s="3">
        <f>D20*(D2^D11)</f>
        <v>5.9539970197837091</v>
      </c>
      <c r="E33" s="3">
        <f>E20*(E2^E11)</f>
        <v>12.041125993673566</v>
      </c>
      <c r="F33" s="3">
        <f>F20*(F2^F11)</f>
        <v>19.846190298361943</v>
      </c>
      <c r="G33" s="3">
        <f t="shared" ref="G33:L33" si="24">G21*(G2^G11)+G22*(G2^G18)</f>
        <v>3.9755514965902385</v>
      </c>
      <c r="H33" s="3">
        <f t="shared" si="24"/>
        <v>-11.631162730636277</v>
      </c>
      <c r="I33" s="3">
        <f t="shared" si="24"/>
        <v>-27.626685084829106</v>
      </c>
      <c r="J33" s="3">
        <f t="shared" si="24"/>
        <v>-44.33230177612495</v>
      </c>
      <c r="K33" s="3">
        <f t="shared" si="24"/>
        <v>-61.918607474178984</v>
      </c>
      <c r="L33" s="3">
        <f t="shared" si="24"/>
        <v>-80.480096557445165</v>
      </c>
      <c r="M33" s="3">
        <f>M23*(M2^M18)</f>
        <v>-75.021355609365898</v>
      </c>
      <c r="N33" s="3">
        <f>N23*(N2^N18)</f>
        <v>-70.361861307036989</v>
      </c>
    </row>
    <row r="34" spans="1:14" x14ac:dyDescent="0.35">
      <c r="A34" s="25"/>
      <c r="B34" s="3" t="s">
        <v>8</v>
      </c>
      <c r="C34" s="3" t="s">
        <v>8</v>
      </c>
      <c r="D34" s="3" t="s">
        <v>8</v>
      </c>
      <c r="E34" s="3" t="s">
        <v>8</v>
      </c>
      <c r="F34" s="3" t="s">
        <v>8</v>
      </c>
      <c r="M34" s="3" t="s">
        <v>8</v>
      </c>
      <c r="N34" s="3" t="s">
        <v>8</v>
      </c>
    </row>
    <row r="35" spans="1:14" x14ac:dyDescent="0.35">
      <c r="A35" s="25"/>
      <c r="B35" s="3" t="s">
        <v>8</v>
      </c>
      <c r="C35" s="3" t="s">
        <v>8</v>
      </c>
      <c r="D35" s="3" t="s">
        <v>8</v>
      </c>
      <c r="E35" s="3" t="s">
        <v>8</v>
      </c>
      <c r="F35" s="3" t="s">
        <v>8</v>
      </c>
      <c r="G35" s="3" t="s">
        <v>8</v>
      </c>
      <c r="H35" s="3" t="s">
        <v>8</v>
      </c>
      <c r="I35" s="3" t="s">
        <v>8</v>
      </c>
      <c r="J35" s="3" t="s">
        <v>8</v>
      </c>
      <c r="K35" s="3" t="s">
        <v>8</v>
      </c>
      <c r="L35" s="3" t="s"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8" workbookViewId="0">
      <selection activeCell="O37" sqref="O37"/>
    </sheetView>
  </sheetViews>
  <sheetFormatPr defaultRowHeight="14.5" x14ac:dyDescent="0.35"/>
  <cols>
    <col min="1" max="1" width="12" bestFit="1" customWidth="1"/>
    <col min="2" max="14" width="9.26953125" bestFit="1" customWidth="1"/>
  </cols>
  <sheetData>
    <row r="1" spans="1:15" x14ac:dyDescent="0.35">
      <c r="A1" s="2" t="s">
        <v>0</v>
      </c>
      <c r="F1" t="s">
        <v>45</v>
      </c>
      <c r="L1" t="s">
        <v>46</v>
      </c>
    </row>
    <row r="2" spans="1:15" x14ac:dyDescent="0.35">
      <c r="A2" s="16" t="s">
        <v>1</v>
      </c>
      <c r="B2" s="17">
        <v>0</v>
      </c>
      <c r="C2" s="17">
        <f>B2+1</f>
        <v>1</v>
      </c>
      <c r="D2" s="17">
        <f t="shared" ref="D2:N2" si="0">C2+1</f>
        <v>2</v>
      </c>
      <c r="E2" s="17">
        <f t="shared" si="0"/>
        <v>3</v>
      </c>
      <c r="F2" s="29">
        <f t="shared" si="0"/>
        <v>4</v>
      </c>
      <c r="G2" s="17">
        <f t="shared" si="0"/>
        <v>5</v>
      </c>
      <c r="H2" s="17">
        <f t="shared" si="0"/>
        <v>6</v>
      </c>
      <c r="I2" s="17">
        <f t="shared" si="0"/>
        <v>7</v>
      </c>
      <c r="J2" s="17">
        <f t="shared" si="0"/>
        <v>8</v>
      </c>
      <c r="K2" s="17">
        <f t="shared" si="0"/>
        <v>9</v>
      </c>
      <c r="L2" s="29">
        <f t="shared" si="0"/>
        <v>10</v>
      </c>
      <c r="M2" s="17">
        <f t="shared" si="0"/>
        <v>11</v>
      </c>
      <c r="N2" s="17">
        <f t="shared" si="0"/>
        <v>12</v>
      </c>
    </row>
    <row r="3" spans="1:15" x14ac:dyDescent="0.35">
      <c r="A3" s="16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100</v>
      </c>
      <c r="J3" s="17">
        <v>100</v>
      </c>
      <c r="K3" s="17">
        <v>100</v>
      </c>
      <c r="L3" s="17">
        <v>100</v>
      </c>
      <c r="M3" s="17">
        <v>100</v>
      </c>
      <c r="N3" s="17">
        <v>100</v>
      </c>
    </row>
    <row r="4" spans="1:15" x14ac:dyDescent="0.35">
      <c r="A4" s="10" t="s">
        <v>3</v>
      </c>
      <c r="B4" s="17">
        <v>0.25</v>
      </c>
      <c r="C4" s="17">
        <v>0.25</v>
      </c>
      <c r="D4" s="17">
        <v>0.25</v>
      </c>
      <c r="E4" s="17">
        <v>0.25</v>
      </c>
      <c r="F4" s="17">
        <v>0.25</v>
      </c>
      <c r="G4" s="17">
        <v>0.25</v>
      </c>
      <c r="H4" s="17">
        <v>0.25</v>
      </c>
      <c r="I4" s="17">
        <v>0.25</v>
      </c>
      <c r="J4" s="17">
        <v>0.25</v>
      </c>
      <c r="K4" s="17">
        <v>0.25</v>
      </c>
      <c r="L4" s="17">
        <v>0.25</v>
      </c>
      <c r="M4" s="17">
        <v>0.25</v>
      </c>
      <c r="N4" s="17">
        <v>0.25</v>
      </c>
    </row>
    <row r="5" spans="1:15" x14ac:dyDescent="0.35">
      <c r="A5" s="18" t="s">
        <v>4</v>
      </c>
      <c r="B5" s="17">
        <v>0.04</v>
      </c>
      <c r="C5" s="17">
        <v>0.04</v>
      </c>
      <c r="D5" s="17">
        <v>0.04</v>
      </c>
      <c r="E5" s="17">
        <v>0.04</v>
      </c>
      <c r="F5" s="17">
        <v>0.04</v>
      </c>
      <c r="G5" s="17">
        <v>0.04</v>
      </c>
      <c r="H5" s="17">
        <v>0.04</v>
      </c>
      <c r="I5" s="17">
        <v>0.04</v>
      </c>
      <c r="J5" s="17">
        <v>0.04</v>
      </c>
      <c r="K5" s="17">
        <v>0.04</v>
      </c>
      <c r="L5" s="17">
        <v>0.04</v>
      </c>
      <c r="M5" s="17">
        <v>0.04</v>
      </c>
      <c r="N5" s="17">
        <v>0.04</v>
      </c>
    </row>
    <row r="6" spans="1:15" x14ac:dyDescent="0.35">
      <c r="A6" s="10" t="s">
        <v>29</v>
      </c>
      <c r="B6" s="17">
        <v>0.04</v>
      </c>
      <c r="C6" s="17">
        <v>0.04</v>
      </c>
      <c r="D6" s="17">
        <v>0.04</v>
      </c>
      <c r="E6" s="17">
        <v>0.04</v>
      </c>
      <c r="F6" s="17">
        <v>0.04</v>
      </c>
      <c r="G6" s="17">
        <v>0.04</v>
      </c>
      <c r="H6" s="17">
        <v>0.04</v>
      </c>
      <c r="I6" s="17">
        <v>0.04</v>
      </c>
      <c r="J6" s="17">
        <v>0.04</v>
      </c>
      <c r="K6" s="17">
        <v>0.04</v>
      </c>
      <c r="L6" s="17">
        <v>0.04</v>
      </c>
      <c r="M6" s="17">
        <v>0.04</v>
      </c>
      <c r="N6" s="17">
        <v>0.04</v>
      </c>
    </row>
    <row r="7" spans="1:15" x14ac:dyDescent="0.35">
      <c r="A7" s="18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35">
      <c r="A8" s="16" t="s">
        <v>30</v>
      </c>
      <c r="B8" s="24">
        <f>IF(B2&lt;B10,((B3/(B11-1))*(B2/B10)^B11),B9)</f>
        <v>0</v>
      </c>
      <c r="C8" s="24">
        <f t="shared" ref="C8:N8" si="1">IF(C2&lt;C10,((C3/(C11-1))*(C2/C10)^C11),C9)</f>
        <v>2.7547336414741639</v>
      </c>
      <c r="D8" s="24">
        <f t="shared" si="1"/>
        <v>9.1822296666150898</v>
      </c>
      <c r="E8" s="24">
        <f t="shared" si="1"/>
        <v>18.56977488419637</v>
      </c>
      <c r="F8" s="24">
        <f t="shared" si="1"/>
        <v>30.606712889071549</v>
      </c>
      <c r="G8" s="24">
        <f t="shared" si="1"/>
        <v>45.096492214699531</v>
      </c>
      <c r="H8" s="24">
        <f t="shared" si="1"/>
        <v>61.897794863674804</v>
      </c>
      <c r="I8" s="24">
        <f t="shared" si="1"/>
        <v>80.901612457306967</v>
      </c>
      <c r="J8" s="24">
        <f t="shared" si="1"/>
        <v>102.01997857666161</v>
      </c>
      <c r="K8" s="24">
        <f t="shared" si="1"/>
        <v>125.17963045791781</v>
      </c>
      <c r="L8" s="24">
        <f t="shared" si="1"/>
        <v>150</v>
      </c>
      <c r="M8" s="24">
        <f t="shared" si="1"/>
        <v>175</v>
      </c>
      <c r="N8" s="24">
        <f t="shared" si="1"/>
        <v>200</v>
      </c>
      <c r="O8">
        <v>7</v>
      </c>
    </row>
    <row r="9" spans="1:15" x14ac:dyDescent="0.35">
      <c r="A9" s="16" t="s">
        <v>48</v>
      </c>
      <c r="B9" s="24">
        <f>MAX(B2/B6-B3,0)</f>
        <v>0</v>
      </c>
      <c r="C9" s="24">
        <f t="shared" ref="C9:N9" si="2">MAX(C2/C6-C3,0)</f>
        <v>0</v>
      </c>
      <c r="D9" s="2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25</v>
      </c>
      <c r="H9" s="24">
        <f t="shared" si="2"/>
        <v>50</v>
      </c>
      <c r="I9" s="24">
        <f t="shared" si="2"/>
        <v>75</v>
      </c>
      <c r="J9" s="24">
        <f t="shared" si="2"/>
        <v>100</v>
      </c>
      <c r="K9" s="24">
        <f t="shared" si="2"/>
        <v>125</v>
      </c>
      <c r="L9" s="24">
        <f t="shared" si="2"/>
        <v>150</v>
      </c>
      <c r="M9" s="24">
        <f t="shared" si="2"/>
        <v>175</v>
      </c>
      <c r="N9" s="24">
        <f t="shared" si="2"/>
        <v>200</v>
      </c>
      <c r="O9" t="s">
        <v>90</v>
      </c>
    </row>
    <row r="10" spans="1:15" x14ac:dyDescent="0.35">
      <c r="A10" s="16" t="s">
        <v>82</v>
      </c>
      <c r="B10" s="24">
        <f>(B11/(B11-1))*B3*B6</f>
        <v>9.4279115240165563</v>
      </c>
      <c r="C10" s="24">
        <f t="shared" ref="C10:N10" si="3">(C11/(C11-1))*C3*C6</f>
        <v>9.4279115240165563</v>
      </c>
      <c r="D10" s="24">
        <f t="shared" si="3"/>
        <v>9.4279115240165563</v>
      </c>
      <c r="E10" s="24">
        <f t="shared" si="3"/>
        <v>9.4279115240165563</v>
      </c>
      <c r="F10" s="24">
        <f t="shared" si="3"/>
        <v>9.4279115240165563</v>
      </c>
      <c r="G10" s="24">
        <f t="shared" si="3"/>
        <v>9.4279115240165563</v>
      </c>
      <c r="H10" s="24">
        <f t="shared" si="3"/>
        <v>9.4279115240165563</v>
      </c>
      <c r="I10" s="24">
        <f t="shared" si="3"/>
        <v>9.4279115240165563</v>
      </c>
      <c r="J10" s="24">
        <f t="shared" si="3"/>
        <v>9.4279115240165563</v>
      </c>
      <c r="K10" s="24">
        <f t="shared" si="3"/>
        <v>9.4279115240165563</v>
      </c>
      <c r="L10" s="24">
        <f t="shared" si="3"/>
        <v>9.4279115240165563</v>
      </c>
      <c r="M10" s="24">
        <f t="shared" si="3"/>
        <v>9.4279115240165563</v>
      </c>
      <c r="N10" s="24">
        <f t="shared" si="3"/>
        <v>9.4279115240165563</v>
      </c>
      <c r="O10">
        <v>6</v>
      </c>
    </row>
    <row r="11" spans="1:15" ht="15.5" x14ac:dyDescent="0.4">
      <c r="A11" s="10" t="s">
        <v>7</v>
      </c>
      <c r="B11" s="24">
        <f>0.5-(B5-B6)/(B4^2)+SQRT(((B5-B6)/(B4^2)-0.5)^2 + 2*B5/(B4^2))</f>
        <v>1.7369316876852983</v>
      </c>
      <c r="C11" s="24">
        <f t="shared" ref="C11:N11" si="4">0.5-(C5-C6)/(C4^2)+SQRT(((C5-C6)/(C4^2)-0.5)^2 + 2*C5/(C4^2))</f>
        <v>1.7369316876852983</v>
      </c>
      <c r="D11" s="24">
        <f t="shared" si="4"/>
        <v>1.7369316876852983</v>
      </c>
      <c r="E11" s="24">
        <f t="shared" si="4"/>
        <v>1.7369316876852983</v>
      </c>
      <c r="F11" s="24">
        <f t="shared" si="4"/>
        <v>1.7369316876852983</v>
      </c>
      <c r="G11" s="24">
        <f t="shared" si="4"/>
        <v>1.7369316876852983</v>
      </c>
      <c r="H11" s="24">
        <f t="shared" si="4"/>
        <v>1.7369316876852983</v>
      </c>
      <c r="I11" s="24">
        <f t="shared" si="4"/>
        <v>1.7369316876852983</v>
      </c>
      <c r="J11" s="24">
        <f t="shared" si="4"/>
        <v>1.7369316876852983</v>
      </c>
      <c r="K11" s="24">
        <f t="shared" si="4"/>
        <v>1.7369316876852983</v>
      </c>
      <c r="L11" s="24">
        <f t="shared" si="4"/>
        <v>1.7369316876852983</v>
      </c>
      <c r="M11" s="24">
        <f t="shared" si="4"/>
        <v>1.7369316876852983</v>
      </c>
      <c r="N11" s="24">
        <f t="shared" si="4"/>
        <v>1.7369316876852983</v>
      </c>
    </row>
    <row r="12" spans="1:15" x14ac:dyDescent="0.35">
      <c r="A12" s="25" t="s">
        <v>52</v>
      </c>
      <c r="B12" s="3">
        <f>(B3*(B10^-B11))/(B11-1)</f>
        <v>2.7547336414741652</v>
      </c>
      <c r="C12" s="3">
        <f t="shared" ref="C12:N12" si="5">(C3*(C10^-C11))/(C11-1)</f>
        <v>2.7547336414741652</v>
      </c>
      <c r="D12" s="3">
        <f t="shared" si="5"/>
        <v>2.7547336414741652</v>
      </c>
      <c r="E12" s="3">
        <f t="shared" si="5"/>
        <v>2.7547336414741652</v>
      </c>
      <c r="F12" s="3">
        <f t="shared" si="5"/>
        <v>2.7547336414741652</v>
      </c>
      <c r="G12" s="3">
        <f t="shared" si="5"/>
        <v>2.7547336414741652</v>
      </c>
      <c r="H12" s="3">
        <f t="shared" si="5"/>
        <v>2.7547336414741652</v>
      </c>
      <c r="I12" s="3">
        <f t="shared" si="5"/>
        <v>2.7547336414741652</v>
      </c>
      <c r="J12" s="3">
        <f t="shared" si="5"/>
        <v>2.7547336414741652</v>
      </c>
      <c r="K12" s="3">
        <f t="shared" si="5"/>
        <v>2.7547336414741652</v>
      </c>
      <c r="L12" s="3">
        <f t="shared" si="5"/>
        <v>2.7547336414741652</v>
      </c>
      <c r="M12" s="3">
        <f t="shared" si="5"/>
        <v>2.7547336414741652</v>
      </c>
      <c r="N12" s="3">
        <f t="shared" si="5"/>
        <v>2.7547336414741652</v>
      </c>
      <c r="O12">
        <v>8</v>
      </c>
    </row>
    <row r="13" spans="1:15" x14ac:dyDescent="0.35">
      <c r="A13" s="25" t="s">
        <v>54</v>
      </c>
      <c r="B13" s="3">
        <f>IF(B2&lt;$F$2,$F$2/B5+B22*(B2^B11),IF(B2&gt;$L$2,$L$2/B5+B25*(B2^B18),B2/B6+B23*(B2^B11)+B24*(B2^B18)))</f>
        <v>100</v>
      </c>
      <c r="C13" s="3">
        <f t="shared" ref="C13:N13" si="6">IF(C2&lt;$F$2,$F$2/C5+C22*(C2^C11),IF(C2&gt;$L$2,$L$2/C5+C25*(C2^C18),C2/C6+C23*(C2^C11)+C24*(C2^C18)))</f>
        <v>101.78624108600427</v>
      </c>
      <c r="D13" s="3">
        <f t="shared" si="6"/>
        <v>105.95399701978371</v>
      </c>
      <c r="E13" s="3">
        <f t="shared" si="6"/>
        <v>112.04112599367356</v>
      </c>
      <c r="F13" s="3">
        <f t="shared" si="6"/>
        <v>119.84619029836195</v>
      </c>
      <c r="G13" s="3">
        <f t="shared" si="6"/>
        <v>128.97555149659024</v>
      </c>
      <c r="H13" s="3">
        <f t="shared" si="6"/>
        <v>138.36883726936372</v>
      </c>
      <c r="I13" s="3">
        <f t="shared" si="6"/>
        <v>147.37331491517088</v>
      </c>
      <c r="J13" s="3">
        <f t="shared" si="6"/>
        <v>155.66769822387505</v>
      </c>
      <c r="K13" s="3">
        <f t="shared" si="6"/>
        <v>163.081392525821</v>
      </c>
      <c r="L13" s="3">
        <f t="shared" si="6"/>
        <v>169.51990344255483</v>
      </c>
      <c r="M13" s="3">
        <f t="shared" si="6"/>
        <v>174.97864439063409</v>
      </c>
      <c r="N13" s="3">
        <f t="shared" si="6"/>
        <v>179.63813869296303</v>
      </c>
      <c r="O13">
        <v>10</v>
      </c>
    </row>
    <row r="14" spans="1:15" x14ac:dyDescent="0.35">
      <c r="A14" s="25" t="s">
        <v>74</v>
      </c>
      <c r="B14" s="3">
        <f>IF(B2&lt;B20,B21*(B2^B11),B2/B6-B3+B23*(B2^B11)+B24*(B2^B18))</f>
        <v>0</v>
      </c>
      <c r="C14" s="3">
        <f t="shared" ref="C14:N14" si="7">IF(C2&lt;C20,C21*(C2^C11),C2/C6-C3+C23*(C2^C11)+C24*(C2^C18))</f>
        <v>1.786241086004263</v>
      </c>
      <c r="D14" s="3">
        <f t="shared" si="7"/>
        <v>5.9539970197837109</v>
      </c>
      <c r="E14" s="3">
        <f t="shared" si="7"/>
        <v>12.041125993673569</v>
      </c>
      <c r="F14" s="3">
        <f t="shared" si="7"/>
        <v>19.84619029836195</v>
      </c>
      <c r="G14" s="3">
        <f t="shared" si="7"/>
        <v>28.975551496590239</v>
      </c>
      <c r="H14" s="3">
        <f t="shared" si="7"/>
        <v>38.368837269363723</v>
      </c>
      <c r="I14" s="3">
        <f t="shared" si="7"/>
        <v>47.373314915170894</v>
      </c>
      <c r="J14" s="3">
        <f t="shared" si="7"/>
        <v>55.66769822387505</v>
      </c>
      <c r="K14" s="3">
        <f t="shared" si="7"/>
        <v>63.081392525821016</v>
      </c>
      <c r="L14" s="3">
        <f t="shared" si="7"/>
        <v>69.519903442554835</v>
      </c>
      <c r="M14" s="3">
        <f t="shared" si="7"/>
        <v>74.930175393728632</v>
      </c>
      <c r="N14" s="3">
        <f t="shared" si="7"/>
        <v>79.283008213655023</v>
      </c>
      <c r="O14">
        <v>20</v>
      </c>
    </row>
    <row r="15" spans="1:15" x14ac:dyDescent="0.35">
      <c r="A15" s="16" t="s">
        <v>106</v>
      </c>
      <c r="B15" s="24">
        <f t="shared" ref="B15:N15" si="8">IF(B2&gt;B17,(-B3/(B18-1))*(B2/B17)^B18,B16)</f>
        <v>100</v>
      </c>
      <c r="C15" s="24">
        <f t="shared" si="8"/>
        <v>75</v>
      </c>
      <c r="D15" s="24">
        <f t="shared" si="8"/>
        <v>51.009989288330821</v>
      </c>
      <c r="E15" s="24">
        <f t="shared" si="8"/>
        <v>37.834500406543242</v>
      </c>
      <c r="F15" s="24">
        <f t="shared" si="8"/>
        <v>30.606712889071552</v>
      </c>
      <c r="G15" s="24">
        <f t="shared" si="8"/>
        <v>25.965735578007759</v>
      </c>
      <c r="H15" s="24">
        <f t="shared" si="8"/>
        <v>22.701233766175971</v>
      </c>
      <c r="I15" s="24">
        <f t="shared" si="8"/>
        <v>20.263490176351084</v>
      </c>
      <c r="J15" s="24">
        <f t="shared" si="8"/>
        <v>18.36445933323019</v>
      </c>
      <c r="K15" s="24">
        <f t="shared" si="8"/>
        <v>16.837679249462223</v>
      </c>
      <c r="L15" s="24">
        <f t="shared" si="8"/>
        <v>15.579807501967805</v>
      </c>
      <c r="M15" s="24">
        <f t="shared" si="8"/>
        <v>14.523072522612008</v>
      </c>
      <c r="N15" s="24">
        <f t="shared" si="8"/>
        <v>13.621060380579047</v>
      </c>
    </row>
    <row r="16" spans="1:15" x14ac:dyDescent="0.35">
      <c r="A16" s="16" t="s">
        <v>84</v>
      </c>
      <c r="B16" s="3">
        <f>MAX(B3-B2/B6,0)</f>
        <v>100</v>
      </c>
      <c r="C16" s="3">
        <f t="shared" ref="C16:N16" si="9">MAX(C3-C2/C6,0)</f>
        <v>75</v>
      </c>
      <c r="D16" s="3">
        <f t="shared" si="9"/>
        <v>50</v>
      </c>
      <c r="E16" s="3">
        <f t="shared" si="9"/>
        <v>25</v>
      </c>
      <c r="F16" s="3">
        <f t="shared" si="9"/>
        <v>0</v>
      </c>
      <c r="G16" s="3">
        <f t="shared" si="9"/>
        <v>0</v>
      </c>
      <c r="H16" s="3">
        <f t="shared" si="9"/>
        <v>0</v>
      </c>
      <c r="I16" s="3">
        <f t="shared" si="9"/>
        <v>0</v>
      </c>
      <c r="J16" s="3">
        <f t="shared" si="9"/>
        <v>0</v>
      </c>
      <c r="K16" s="3">
        <f t="shared" si="9"/>
        <v>0</v>
      </c>
      <c r="L16" s="3">
        <f t="shared" si="9"/>
        <v>0</v>
      </c>
      <c r="M16" s="3">
        <f t="shared" si="9"/>
        <v>0</v>
      </c>
      <c r="N16" s="3">
        <f t="shared" si="9"/>
        <v>0</v>
      </c>
    </row>
    <row r="17" spans="1:15" x14ac:dyDescent="0.35">
      <c r="A17" s="16" t="s">
        <v>82</v>
      </c>
      <c r="B17" s="28">
        <f>(B18/(B18-1))*B3*B6</f>
        <v>1.6970884759834435</v>
      </c>
      <c r="C17" s="28">
        <f t="shared" ref="C17:N17" si="10">(C18/(C18-1))*C3*C6</f>
        <v>1.6970884759834435</v>
      </c>
      <c r="D17" s="28">
        <f t="shared" si="10"/>
        <v>1.6970884759834435</v>
      </c>
      <c r="E17" s="28">
        <f t="shared" si="10"/>
        <v>1.6970884759834435</v>
      </c>
      <c r="F17" s="28">
        <f t="shared" si="10"/>
        <v>1.6970884759834435</v>
      </c>
      <c r="G17" s="28">
        <f t="shared" si="10"/>
        <v>1.6970884759834435</v>
      </c>
      <c r="H17" s="28">
        <f t="shared" si="10"/>
        <v>1.6970884759834435</v>
      </c>
      <c r="I17" s="28">
        <f t="shared" si="10"/>
        <v>1.6970884759834435</v>
      </c>
      <c r="J17" s="28">
        <f t="shared" si="10"/>
        <v>1.6970884759834435</v>
      </c>
      <c r="K17" s="28">
        <f t="shared" si="10"/>
        <v>1.6970884759834435</v>
      </c>
      <c r="L17" s="28">
        <f t="shared" si="10"/>
        <v>1.6970884759834435</v>
      </c>
      <c r="M17" s="28">
        <f t="shared" si="10"/>
        <v>1.6970884759834435</v>
      </c>
      <c r="N17" s="28">
        <f t="shared" si="10"/>
        <v>1.6970884759834435</v>
      </c>
    </row>
    <row r="18" spans="1:15" x14ac:dyDescent="0.35">
      <c r="A18" s="10" t="s">
        <v>12</v>
      </c>
      <c r="B18" s="24">
        <f>0.5-(B5-B6)/(B4^2)-SQRT(((B5-B6)/(B4^2)-0.5)^2 + 2*B5/(B4^2))</f>
        <v>-0.73693168768529826</v>
      </c>
      <c r="C18" s="24">
        <f t="shared" ref="C18:N18" si="11">0.5-(C5-C6)/(C4^2)-SQRT(((C5-C6)/(C4^2)-0.5)^2 + 2*C5/(C4^2))</f>
        <v>-0.73693168768529826</v>
      </c>
      <c r="D18" s="24">
        <f t="shared" si="11"/>
        <v>-0.73693168768529826</v>
      </c>
      <c r="E18" s="24">
        <f t="shared" si="11"/>
        <v>-0.73693168768529826</v>
      </c>
      <c r="F18" s="24">
        <f t="shared" si="11"/>
        <v>-0.73693168768529826</v>
      </c>
      <c r="G18" s="24">
        <f t="shared" si="11"/>
        <v>-0.73693168768529826</v>
      </c>
      <c r="H18" s="24">
        <f t="shared" si="11"/>
        <v>-0.73693168768529826</v>
      </c>
      <c r="I18" s="24">
        <f t="shared" si="11"/>
        <v>-0.73693168768529826</v>
      </c>
      <c r="J18" s="24">
        <f t="shared" si="11"/>
        <v>-0.73693168768529826</v>
      </c>
      <c r="K18" s="24">
        <f t="shared" si="11"/>
        <v>-0.73693168768529826</v>
      </c>
      <c r="L18" s="24">
        <f t="shared" si="11"/>
        <v>-0.73693168768529826</v>
      </c>
      <c r="M18" s="24">
        <f t="shared" si="11"/>
        <v>-0.73693168768529826</v>
      </c>
      <c r="N18" s="24">
        <f t="shared" si="11"/>
        <v>-0.73693168768529826</v>
      </c>
    </row>
    <row r="19" spans="1:15" x14ac:dyDescent="0.35">
      <c r="A19" s="8" t="s">
        <v>76</v>
      </c>
      <c r="B19" s="24">
        <f>B20/B6-(B11/(B11-1))*B3+((B11-B18)/(B11-1))*B24*(B20^B18)</f>
        <v>0</v>
      </c>
      <c r="C19" s="24">
        <f t="shared" ref="C19:N19" si="12">C20/C6-(C11/(C11-1))*C3+((C11-C18)/(C11-1))*C24*(C20^C18)</f>
        <v>0</v>
      </c>
      <c r="D19" s="24">
        <f t="shared" si="12"/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>
        <v>18</v>
      </c>
    </row>
    <row r="20" spans="1:15" x14ac:dyDescent="0.35">
      <c r="A20" s="8" t="s">
        <v>11</v>
      </c>
      <c r="B20" s="24">
        <v>3.9999999072717407</v>
      </c>
      <c r="C20" s="24">
        <v>3.9999999072717407</v>
      </c>
      <c r="D20" s="24">
        <v>3.9999999072717407</v>
      </c>
      <c r="E20" s="24">
        <v>3.9999999072717407</v>
      </c>
      <c r="F20" s="24">
        <v>3.9999999072717407</v>
      </c>
      <c r="G20" s="24">
        <v>3.9999999072717407</v>
      </c>
      <c r="H20" s="24">
        <v>3.9999999072717407</v>
      </c>
      <c r="I20" s="24">
        <v>3.9999999072717407</v>
      </c>
      <c r="J20" s="24">
        <v>3.9999999072717407</v>
      </c>
      <c r="K20" s="24">
        <v>3.9999999072717407</v>
      </c>
      <c r="L20" s="24">
        <v>3.9999999072717407</v>
      </c>
      <c r="M20" s="24">
        <v>3.9999999072717407</v>
      </c>
      <c r="N20" s="24">
        <v>3.9999999072717407</v>
      </c>
    </row>
    <row r="21" spans="1:15" x14ac:dyDescent="0.35">
      <c r="A21" t="s">
        <v>79</v>
      </c>
      <c r="B21" s="3">
        <f>(1/(B11-B18))*((1-B18)*(B20/B6)+B18*B3)*(B20^-B11)+B23</f>
        <v>1.786241086004263</v>
      </c>
      <c r="C21" s="3">
        <f t="shared" ref="C21:N21" si="13">(1/(C11-C18))*((1-C18)*(C20/C6)+C18*C3)*(C20^-C11)+C23</f>
        <v>1.786241086004263</v>
      </c>
      <c r="D21" s="3">
        <f t="shared" si="13"/>
        <v>1.786241086004263</v>
      </c>
      <c r="E21" s="3">
        <f t="shared" si="13"/>
        <v>1.786241086004263</v>
      </c>
      <c r="F21" s="3">
        <f t="shared" si="13"/>
        <v>1.786241086004263</v>
      </c>
      <c r="G21" s="3">
        <f t="shared" si="13"/>
        <v>1.786241086004263</v>
      </c>
      <c r="H21" s="3">
        <f t="shared" si="13"/>
        <v>1.786241086004263</v>
      </c>
      <c r="I21" s="3">
        <f t="shared" si="13"/>
        <v>1.786241086004263</v>
      </c>
      <c r="J21" s="3">
        <f t="shared" si="13"/>
        <v>1.786241086004263</v>
      </c>
      <c r="K21" s="3">
        <f t="shared" si="13"/>
        <v>1.786241086004263</v>
      </c>
      <c r="L21" s="3">
        <f t="shared" si="13"/>
        <v>1.786241086004263</v>
      </c>
      <c r="M21" s="3">
        <f t="shared" si="13"/>
        <v>1.786241086004263</v>
      </c>
      <c r="N21" s="3">
        <f t="shared" si="13"/>
        <v>1.786241086004263</v>
      </c>
      <c r="O21">
        <v>19</v>
      </c>
    </row>
    <row r="22" spans="1:15" x14ac:dyDescent="0.35">
      <c r="A22" t="s">
        <v>59</v>
      </c>
      <c r="B22" s="3">
        <f>($L$2/($L$2^B11)-$F$2/($F$2^B11))*(B26/B28)</f>
        <v>1.7862410860042626</v>
      </c>
      <c r="C22" s="3">
        <f t="shared" ref="C22:N22" si="14">($L$2/($L$2^C11)-$F$2/($F$2^C11))*(C26/C28)</f>
        <v>1.7862410860042626</v>
      </c>
      <c r="D22" s="3">
        <f t="shared" si="14"/>
        <v>1.7862410860042626</v>
      </c>
      <c r="E22" s="3">
        <f t="shared" si="14"/>
        <v>1.7862410860042626</v>
      </c>
      <c r="F22" s="5">
        <f t="shared" si="14"/>
        <v>1.7862410860042626</v>
      </c>
      <c r="G22" s="3">
        <f t="shared" si="14"/>
        <v>1.7862410860042626</v>
      </c>
      <c r="H22" s="3">
        <f t="shared" si="14"/>
        <v>1.7862410860042626</v>
      </c>
      <c r="I22" s="3">
        <f t="shared" si="14"/>
        <v>1.7862410860042626</v>
      </c>
      <c r="J22" s="3">
        <f t="shared" si="14"/>
        <v>1.7862410860042626</v>
      </c>
      <c r="K22" s="3">
        <f t="shared" si="14"/>
        <v>1.7862410860042626</v>
      </c>
      <c r="L22" s="3">
        <f t="shared" si="14"/>
        <v>1.7862410860042626</v>
      </c>
      <c r="M22" s="3">
        <f t="shared" si="14"/>
        <v>1.7862410860042626</v>
      </c>
      <c r="N22" s="3">
        <f t="shared" si="14"/>
        <v>1.7862410860042626</v>
      </c>
    </row>
    <row r="23" spans="1:15" x14ac:dyDescent="0.35">
      <c r="A23" t="s">
        <v>60</v>
      </c>
      <c r="B23" s="3">
        <f>($L$2/($L$2^B11))*(B26/B28)</f>
        <v>-1.8519642970491914</v>
      </c>
      <c r="C23" s="3">
        <f t="shared" ref="C23:N23" si="15">($L$2/($L$2^C11))*(C26/C28)</f>
        <v>-1.8519642970491914</v>
      </c>
      <c r="D23" s="3">
        <f t="shared" si="15"/>
        <v>-1.8519642970491914</v>
      </c>
      <c r="E23" s="3">
        <f t="shared" si="15"/>
        <v>-1.8519642970491914</v>
      </c>
      <c r="F23" s="5">
        <f t="shared" si="15"/>
        <v>-1.8519642970491914</v>
      </c>
      <c r="G23" s="3">
        <f t="shared" si="15"/>
        <v>-1.8519642970491914</v>
      </c>
      <c r="H23" s="3">
        <f t="shared" si="15"/>
        <v>-1.8519642970491914</v>
      </c>
      <c r="I23" s="3">
        <f t="shared" si="15"/>
        <v>-1.8519642970491914</v>
      </c>
      <c r="J23" s="3">
        <f t="shared" si="15"/>
        <v>-1.8519642970491914</v>
      </c>
      <c r="K23" s="3">
        <f t="shared" si="15"/>
        <v>-1.8519642970491914</v>
      </c>
      <c r="L23" s="3">
        <f t="shared" si="15"/>
        <v>-1.8519642970491914</v>
      </c>
      <c r="M23" s="3">
        <f t="shared" si="15"/>
        <v>-1.8519642970491914</v>
      </c>
      <c r="N23" s="3">
        <f t="shared" si="15"/>
        <v>-1.8519642970491914</v>
      </c>
    </row>
    <row r="24" spans="1:15" x14ac:dyDescent="0.35">
      <c r="A24" t="s">
        <v>62</v>
      </c>
      <c r="B24" s="3">
        <f>(-$F$2/($F$2^B18))*(B27/B28)</f>
        <v>112.27973382945815</v>
      </c>
      <c r="C24" s="3">
        <f t="shared" ref="C24:N24" si="16">(-$F$2/($F$2^C18))*(C27/C28)</f>
        <v>112.27973382945815</v>
      </c>
      <c r="D24" s="3">
        <f t="shared" si="16"/>
        <v>112.27973382945815</v>
      </c>
      <c r="E24" s="3">
        <f t="shared" si="16"/>
        <v>112.27973382945815</v>
      </c>
      <c r="F24" s="5">
        <f t="shared" si="16"/>
        <v>112.27973382945815</v>
      </c>
      <c r="G24" s="3">
        <f t="shared" si="16"/>
        <v>112.27973382945815</v>
      </c>
      <c r="H24" s="3">
        <f t="shared" si="16"/>
        <v>112.27973382945815</v>
      </c>
      <c r="I24" s="3">
        <f t="shared" si="16"/>
        <v>112.27973382945815</v>
      </c>
      <c r="J24" s="3">
        <f t="shared" si="16"/>
        <v>112.27973382945815</v>
      </c>
      <c r="K24" s="3">
        <f t="shared" si="16"/>
        <v>112.27973382945815</v>
      </c>
      <c r="L24" s="3">
        <f t="shared" si="16"/>
        <v>112.27973382945815</v>
      </c>
      <c r="M24" s="3">
        <f t="shared" si="16"/>
        <v>112.27973382945815</v>
      </c>
      <c r="N24" s="3">
        <f t="shared" si="16"/>
        <v>112.27973382945815</v>
      </c>
    </row>
    <row r="25" spans="1:15" x14ac:dyDescent="0.35">
      <c r="A25" t="s">
        <v>64</v>
      </c>
      <c r="B25" s="3">
        <f>($L$2/($L$2^B18)-$F$2/($F$2^B18))*(B27/B28)</f>
        <v>-439.15737092064109</v>
      </c>
      <c r="C25" s="3">
        <f t="shared" ref="C25:N25" si="17">($L$2/($L$2^C18)-$F$2/($F$2^C18))*(C27/C28)</f>
        <v>-439.15737092064109</v>
      </c>
      <c r="D25" s="3">
        <f t="shared" si="17"/>
        <v>-439.15737092064109</v>
      </c>
      <c r="E25" s="3">
        <f t="shared" si="17"/>
        <v>-439.15737092064109</v>
      </c>
      <c r="F25" s="5">
        <f t="shared" si="17"/>
        <v>-439.15737092064109</v>
      </c>
      <c r="G25" s="3">
        <f t="shared" si="17"/>
        <v>-439.15737092064109</v>
      </c>
      <c r="H25" s="3">
        <f t="shared" si="17"/>
        <v>-439.15737092064109</v>
      </c>
      <c r="I25" s="3">
        <f t="shared" si="17"/>
        <v>-439.15737092064109</v>
      </c>
      <c r="J25" s="3">
        <f t="shared" si="17"/>
        <v>-439.15737092064109</v>
      </c>
      <c r="K25" s="3">
        <f t="shared" si="17"/>
        <v>-439.15737092064109</v>
      </c>
      <c r="L25" s="3">
        <f t="shared" si="17"/>
        <v>-439.15737092064109</v>
      </c>
      <c r="M25" s="3">
        <f t="shared" si="17"/>
        <v>-439.15737092064109</v>
      </c>
      <c r="N25" s="3">
        <f t="shared" si="17"/>
        <v>-439.15737092064109</v>
      </c>
    </row>
    <row r="26" spans="1:15" x14ac:dyDescent="0.35">
      <c r="A26" t="s">
        <v>65</v>
      </c>
      <c r="B26" s="3">
        <f>(B5*B18-B5-B6*B18)</f>
        <v>-3.9999999999999994E-2</v>
      </c>
      <c r="C26" s="3">
        <f t="shared" ref="C26:N26" si="18">(C5*C18-C5-C6*C18)</f>
        <v>-3.9999999999999994E-2</v>
      </c>
      <c r="D26" s="3">
        <f t="shared" si="18"/>
        <v>-3.9999999999999994E-2</v>
      </c>
      <c r="E26" s="3">
        <f t="shared" si="18"/>
        <v>-3.9999999999999994E-2</v>
      </c>
      <c r="F26" s="3">
        <f t="shared" si="18"/>
        <v>-3.9999999999999994E-2</v>
      </c>
      <c r="G26" s="3">
        <f t="shared" si="18"/>
        <v>-3.9999999999999994E-2</v>
      </c>
      <c r="H26" s="3">
        <f t="shared" si="18"/>
        <v>-3.9999999999999994E-2</v>
      </c>
      <c r="I26" s="3">
        <f t="shared" si="18"/>
        <v>-3.9999999999999994E-2</v>
      </c>
      <c r="J26" s="3">
        <f t="shared" si="18"/>
        <v>-3.9999999999999994E-2</v>
      </c>
      <c r="K26" s="3">
        <f t="shared" si="18"/>
        <v>-3.9999999999999994E-2</v>
      </c>
      <c r="L26" s="3">
        <f t="shared" si="18"/>
        <v>-3.9999999999999994E-2</v>
      </c>
      <c r="M26" s="3">
        <f t="shared" si="18"/>
        <v>-3.9999999999999994E-2</v>
      </c>
      <c r="N26" s="3">
        <f t="shared" si="18"/>
        <v>-3.9999999999999994E-2</v>
      </c>
    </row>
    <row r="27" spans="1:15" x14ac:dyDescent="0.35">
      <c r="A27" t="s">
        <v>85</v>
      </c>
      <c r="B27" s="3">
        <f>(B5*B11-B5-B6*B11)</f>
        <v>-0.04</v>
      </c>
      <c r="C27" s="3">
        <f t="shared" ref="C27:N27" si="19">(C5*C11-C5-C6*C11)</f>
        <v>-0.04</v>
      </c>
      <c r="D27" s="3">
        <f t="shared" si="19"/>
        <v>-0.04</v>
      </c>
      <c r="E27" s="3">
        <f t="shared" si="19"/>
        <v>-0.04</v>
      </c>
      <c r="F27" s="3">
        <f t="shared" si="19"/>
        <v>-0.04</v>
      </c>
      <c r="G27" s="3">
        <f t="shared" si="19"/>
        <v>-0.04</v>
      </c>
      <c r="H27" s="3">
        <f t="shared" si="19"/>
        <v>-0.04</v>
      </c>
      <c r="I27" s="3">
        <f t="shared" si="19"/>
        <v>-0.04</v>
      </c>
      <c r="J27" s="3">
        <f t="shared" si="19"/>
        <v>-0.04</v>
      </c>
      <c r="K27" s="3">
        <f t="shared" si="19"/>
        <v>-0.04</v>
      </c>
      <c r="L27" s="3">
        <f t="shared" si="19"/>
        <v>-0.04</v>
      </c>
      <c r="M27" s="3">
        <f t="shared" si="19"/>
        <v>-0.04</v>
      </c>
      <c r="N27" s="3">
        <f t="shared" si="19"/>
        <v>-0.04</v>
      </c>
    </row>
    <row r="28" spans="1:15" x14ac:dyDescent="0.35">
      <c r="A28" t="s">
        <v>69</v>
      </c>
      <c r="B28" s="3">
        <f>(B11-B18)*B5*B6</f>
        <v>3.9581814005929545E-3</v>
      </c>
      <c r="C28" s="3">
        <f t="shared" ref="C28:N28" si="20">(C11-C18)*C5*C6</f>
        <v>3.9581814005929545E-3</v>
      </c>
      <c r="D28" s="3">
        <f t="shared" si="20"/>
        <v>3.9581814005929545E-3</v>
      </c>
      <c r="E28" s="3">
        <f t="shared" si="20"/>
        <v>3.9581814005929545E-3</v>
      </c>
      <c r="F28" s="3">
        <f t="shared" si="20"/>
        <v>3.9581814005929545E-3</v>
      </c>
      <c r="G28" s="3">
        <f t="shared" si="20"/>
        <v>3.9581814005929545E-3</v>
      </c>
      <c r="H28" s="3">
        <f t="shared" si="20"/>
        <v>3.9581814005929545E-3</v>
      </c>
      <c r="I28" s="3">
        <f t="shared" si="20"/>
        <v>3.9581814005929545E-3</v>
      </c>
      <c r="J28" s="3">
        <f t="shared" si="20"/>
        <v>3.9581814005929545E-3</v>
      </c>
      <c r="K28" s="3">
        <f t="shared" si="20"/>
        <v>3.9581814005929545E-3</v>
      </c>
      <c r="L28" s="3">
        <f t="shared" si="20"/>
        <v>3.9581814005929545E-3</v>
      </c>
      <c r="M28" s="3">
        <f t="shared" si="20"/>
        <v>3.9581814005929545E-3</v>
      </c>
      <c r="N28" s="3">
        <f t="shared" si="20"/>
        <v>3.9581814005929545E-3</v>
      </c>
    </row>
    <row r="29" spans="1:15" x14ac:dyDescent="0.35">
      <c r="A29" t="s">
        <v>91</v>
      </c>
      <c r="B29" s="3" t="e">
        <f>0.5*(B4^2)*(B2^2)*B31+(B5-B6)*B2*B30-B5*B34</f>
        <v>#DIV/0!</v>
      </c>
      <c r="C29" s="3">
        <f t="shared" ref="C29:N29" si="21">0.5*(C4^2)*(C2^2)*C31+(C5-C6)*C2*C30-C5*C34</f>
        <v>0</v>
      </c>
      <c r="D29" s="3">
        <f t="shared" si="21"/>
        <v>0</v>
      </c>
      <c r="E29" s="3">
        <f t="shared" si="21"/>
        <v>0</v>
      </c>
      <c r="F29" s="3">
        <f t="shared" si="21"/>
        <v>0</v>
      </c>
      <c r="G29" s="3">
        <f t="shared" si="21"/>
        <v>-1</v>
      </c>
      <c r="H29" s="3">
        <f t="shared" si="21"/>
        <v>-2</v>
      </c>
      <c r="I29" s="3">
        <f t="shared" si="21"/>
        <v>-3.0000000000000009</v>
      </c>
      <c r="J29" s="3">
        <f t="shared" si="21"/>
        <v>-4.0000000000000018</v>
      </c>
      <c r="K29" s="3">
        <f t="shared" si="21"/>
        <v>-5</v>
      </c>
      <c r="L29" s="3">
        <f t="shared" si="21"/>
        <v>-5.9999999999999982</v>
      </c>
      <c r="M29" s="3">
        <f t="shared" si="21"/>
        <v>-7.0000000000000009</v>
      </c>
      <c r="N29" s="3">
        <f t="shared" si="21"/>
        <v>-8.0000000000000036</v>
      </c>
      <c r="O29">
        <v>2</v>
      </c>
    </row>
    <row r="30" spans="1:15" x14ac:dyDescent="0.35">
      <c r="A30" t="s">
        <v>92</v>
      </c>
      <c r="B30" s="3">
        <f>IF(B2&lt;B20,B11*B21*(B2^(B11-1)),1/B6+B11*B23*(B2^(B11-1))+B18*B24*(B2^(B18-1)))</f>
        <v>0</v>
      </c>
      <c r="C30" s="3">
        <f t="shared" ref="C30:N30" si="22">IF(C2&lt;C20,C11*C21*(C2^(C11-1)),1/C6+C11*C23*(C2^(C11-1))+C18*C24*(C2^(C18-1)))</f>
        <v>3.1025787441262045</v>
      </c>
      <c r="D30" s="3">
        <f t="shared" si="22"/>
        <v>5.1708430460230783</v>
      </c>
      <c r="E30" s="3">
        <f t="shared" si="22"/>
        <v>6.9715377646075813</v>
      </c>
      <c r="F30" s="3">
        <f t="shared" si="22"/>
        <v>8.6178692022643535</v>
      </c>
      <c r="G30" s="3">
        <f t="shared" si="22"/>
        <v>9.4137054883602609</v>
      </c>
      <c r="H30" s="3">
        <f t="shared" si="22"/>
        <v>9.2711162805235929</v>
      </c>
      <c r="I30" s="3">
        <f t="shared" si="22"/>
        <v>8.6869004424771319</v>
      </c>
      <c r="J30" s="3">
        <f t="shared" si="22"/>
        <v>7.8745512636939896</v>
      </c>
      <c r="K30" s="3">
        <f t="shared" si="22"/>
        <v>6.9376201713762518</v>
      </c>
      <c r="L30" s="3">
        <f t="shared" si="22"/>
        <v>5.9308333381153933</v>
      </c>
      <c r="M30" s="3">
        <f t="shared" si="22"/>
        <v>4.8849944403926573</v>
      </c>
      <c r="N30" s="3">
        <f t="shared" si="22"/>
        <v>3.8182771236516264</v>
      </c>
    </row>
    <row r="31" spans="1:15" x14ac:dyDescent="0.35">
      <c r="A31" t="s">
        <v>93</v>
      </c>
      <c r="B31" s="3" t="e">
        <f>IF(B2&lt;B20,B11*(B11-1)*B21*(B2^(B11-2)),B11*(B11-1)*B23*(B2^(B11-2))+B18*(B18-1)*B24*(B2^(B18-2)))</f>
        <v>#DIV/0!</v>
      </c>
      <c r="C31" s="3">
        <f t="shared" ref="C31:N31" si="23">IF(C2&lt;C20,C11*(C11-1)*C21*(C2^(C11-2)),C11*(C11-1)*C23*(C2^(C11-2))+C18*(C18-1)*C24*(C2^(C18-2)))</f>
        <v>2.286388590085457</v>
      </c>
      <c r="D31" s="3">
        <f t="shared" si="23"/>
        <v>1.9052790463307878</v>
      </c>
      <c r="E31" s="3">
        <f t="shared" si="23"/>
        <v>1.7125156968780184</v>
      </c>
      <c r="F31" s="3">
        <f t="shared" si="23"/>
        <v>1.587695223868957</v>
      </c>
      <c r="G31" s="3">
        <f t="shared" si="23"/>
        <v>0.20354823662542021</v>
      </c>
      <c r="H31" s="3">
        <f t="shared" si="23"/>
        <v>-0.41355245264484553</v>
      </c>
      <c r="I31" s="3">
        <f t="shared" si="23"/>
        <v>-0.72167667160369953</v>
      </c>
      <c r="J31" s="3">
        <f t="shared" si="23"/>
        <v>-0.88664603552249988</v>
      </c>
      <c r="K31" s="3">
        <f t="shared" si="23"/>
        <v>-0.97846688354258116</v>
      </c>
      <c r="L31" s="3">
        <f t="shared" si="23"/>
        <v>-1.0301452359352976</v>
      </c>
      <c r="M31" s="3">
        <f t="shared" si="23"/>
        <v>-1.0585898801324576</v>
      </c>
      <c r="N31" s="3">
        <f t="shared" si="23"/>
        <v>-1.0730399269897337</v>
      </c>
    </row>
    <row r="32" spans="1:15" x14ac:dyDescent="0.35">
      <c r="A32" t="str">
        <f>A2</f>
        <v>P</v>
      </c>
      <c r="B32">
        <f t="shared" ref="B32:N32" si="24">B2</f>
        <v>0</v>
      </c>
      <c r="C32">
        <f t="shared" si="24"/>
        <v>1</v>
      </c>
      <c r="D32">
        <f t="shared" si="24"/>
        <v>2</v>
      </c>
      <c r="E32">
        <f t="shared" si="24"/>
        <v>3</v>
      </c>
      <c r="F32">
        <f t="shared" si="24"/>
        <v>4</v>
      </c>
      <c r="G32">
        <f t="shared" si="24"/>
        <v>5</v>
      </c>
      <c r="H32">
        <f t="shared" si="24"/>
        <v>6</v>
      </c>
      <c r="I32">
        <f t="shared" si="24"/>
        <v>7</v>
      </c>
      <c r="J32">
        <f t="shared" si="24"/>
        <v>8</v>
      </c>
      <c r="K32">
        <f t="shared" si="24"/>
        <v>9</v>
      </c>
      <c r="L32">
        <f t="shared" si="24"/>
        <v>10</v>
      </c>
      <c r="M32">
        <f t="shared" si="24"/>
        <v>11</v>
      </c>
      <c r="N32">
        <f t="shared" si="24"/>
        <v>12</v>
      </c>
    </row>
    <row r="33" spans="1:14" x14ac:dyDescent="0.35">
      <c r="A33" t="str">
        <f>A8</f>
        <v>ROV CALL</v>
      </c>
      <c r="B33" s="1">
        <f t="shared" ref="B33:N33" si="25">B8</f>
        <v>0</v>
      </c>
      <c r="C33" s="1">
        <f t="shared" si="25"/>
        <v>2.7547336414741639</v>
      </c>
      <c r="D33" s="1">
        <f t="shared" si="25"/>
        <v>9.1822296666150898</v>
      </c>
      <c r="E33" s="1">
        <f t="shared" si="25"/>
        <v>18.56977488419637</v>
      </c>
      <c r="F33" s="1">
        <f t="shared" si="25"/>
        <v>30.606712889071549</v>
      </c>
      <c r="G33" s="1">
        <f t="shared" si="25"/>
        <v>45.096492214699531</v>
      </c>
      <c r="H33" s="1">
        <f t="shared" si="25"/>
        <v>61.897794863674804</v>
      </c>
      <c r="I33" s="1">
        <f t="shared" si="25"/>
        <v>80.901612457306967</v>
      </c>
      <c r="J33" s="1">
        <f t="shared" si="25"/>
        <v>102.01997857666161</v>
      </c>
      <c r="K33" s="1">
        <f t="shared" si="25"/>
        <v>125.17963045791781</v>
      </c>
      <c r="L33" s="1">
        <f t="shared" si="25"/>
        <v>150</v>
      </c>
      <c r="M33" s="1">
        <f t="shared" si="25"/>
        <v>175</v>
      </c>
      <c r="N33" s="1">
        <f t="shared" si="25"/>
        <v>200</v>
      </c>
    </row>
    <row r="34" spans="1:14" x14ac:dyDescent="0.35">
      <c r="A34" t="str">
        <f>A14</f>
        <v>ROV COLLAR</v>
      </c>
      <c r="B34" s="1">
        <f t="shared" ref="B34:N34" si="26">B14</f>
        <v>0</v>
      </c>
      <c r="C34" s="1">
        <f t="shared" si="26"/>
        <v>1.786241086004263</v>
      </c>
      <c r="D34" s="1">
        <f t="shared" si="26"/>
        <v>5.9539970197837109</v>
      </c>
      <c r="E34" s="1">
        <f t="shared" si="26"/>
        <v>12.041125993673569</v>
      </c>
      <c r="F34" s="1">
        <f t="shared" si="26"/>
        <v>19.84619029836195</v>
      </c>
      <c r="G34" s="1">
        <f t="shared" si="26"/>
        <v>28.975551496590239</v>
      </c>
      <c r="H34" s="1">
        <f t="shared" si="26"/>
        <v>38.368837269363723</v>
      </c>
      <c r="I34" s="1">
        <f t="shared" si="26"/>
        <v>47.373314915170894</v>
      </c>
      <c r="J34" s="1">
        <f t="shared" si="26"/>
        <v>55.66769822387505</v>
      </c>
      <c r="K34" s="1">
        <f t="shared" si="26"/>
        <v>63.081392525821016</v>
      </c>
      <c r="L34" s="1">
        <f t="shared" si="26"/>
        <v>69.519903442554835</v>
      </c>
      <c r="M34" s="1">
        <f t="shared" si="26"/>
        <v>74.930175393728632</v>
      </c>
      <c r="N34" s="1">
        <f t="shared" si="26"/>
        <v>79.283008213655023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32" zoomScale="75" zoomScaleNormal="75" workbookViewId="0">
      <selection activeCell="K60" sqref="K60"/>
    </sheetView>
  </sheetViews>
  <sheetFormatPr defaultRowHeight="14.5" x14ac:dyDescent="0.35"/>
  <cols>
    <col min="1" max="1" width="12" bestFit="1" customWidth="1"/>
    <col min="2" max="22" width="8.54296875" customWidth="1"/>
  </cols>
  <sheetData>
    <row r="1" spans="1:23" x14ac:dyDescent="0.35">
      <c r="A1" s="2" t="s">
        <v>0</v>
      </c>
      <c r="B1" t="s">
        <v>94</v>
      </c>
      <c r="F1" s="6">
        <v>4</v>
      </c>
      <c r="L1" t="s">
        <v>8</v>
      </c>
      <c r="W1" s="6">
        <v>20</v>
      </c>
    </row>
    <row r="2" spans="1:23" x14ac:dyDescent="0.35">
      <c r="A2" s="16" t="s">
        <v>1</v>
      </c>
      <c r="B2" s="17">
        <v>0</v>
      </c>
      <c r="C2" s="17">
        <f>B2+1</f>
        <v>1</v>
      </c>
      <c r="D2" s="17">
        <f t="shared" ref="D2:V2" si="0">C2+1</f>
        <v>2</v>
      </c>
      <c r="E2" s="17">
        <f t="shared" si="0"/>
        <v>3</v>
      </c>
      <c r="F2" s="17">
        <f>E2+1</f>
        <v>4</v>
      </c>
      <c r="G2" s="17">
        <f>F2+1</f>
        <v>5</v>
      </c>
      <c r="H2" s="17">
        <f t="shared" si="0"/>
        <v>6</v>
      </c>
      <c r="I2" s="17">
        <f t="shared" si="0"/>
        <v>7</v>
      </c>
      <c r="J2" s="17">
        <f t="shared" si="0"/>
        <v>8</v>
      </c>
      <c r="K2" s="17">
        <f t="shared" si="0"/>
        <v>9</v>
      </c>
      <c r="L2" s="17">
        <f>K2+1</f>
        <v>10</v>
      </c>
      <c r="M2" s="17">
        <f>L2+1</f>
        <v>11</v>
      </c>
      <c r="N2" s="17">
        <f t="shared" si="0"/>
        <v>12</v>
      </c>
      <c r="O2" s="17">
        <f t="shared" si="0"/>
        <v>13</v>
      </c>
      <c r="P2" s="17">
        <f t="shared" si="0"/>
        <v>14</v>
      </c>
      <c r="Q2" s="17">
        <f t="shared" si="0"/>
        <v>15</v>
      </c>
      <c r="R2" s="17">
        <f t="shared" si="0"/>
        <v>16</v>
      </c>
      <c r="S2" s="17">
        <f t="shared" si="0"/>
        <v>17</v>
      </c>
      <c r="T2" s="17">
        <f t="shared" si="0"/>
        <v>18</v>
      </c>
      <c r="U2" s="17">
        <f t="shared" si="0"/>
        <v>19</v>
      </c>
      <c r="V2" s="17">
        <f t="shared" si="0"/>
        <v>20</v>
      </c>
    </row>
    <row r="3" spans="1:23" x14ac:dyDescent="0.35">
      <c r="A3" s="16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100</v>
      </c>
      <c r="J3" s="17">
        <v>100</v>
      </c>
      <c r="K3" s="17">
        <v>100</v>
      </c>
      <c r="L3" s="17">
        <v>100</v>
      </c>
      <c r="M3" s="17">
        <v>100</v>
      </c>
      <c r="N3" s="17">
        <v>100</v>
      </c>
      <c r="O3" s="17">
        <v>100</v>
      </c>
      <c r="P3" s="17">
        <v>100</v>
      </c>
      <c r="Q3" s="17">
        <v>100</v>
      </c>
      <c r="R3" s="17">
        <v>100</v>
      </c>
      <c r="S3" s="17">
        <v>100</v>
      </c>
      <c r="T3" s="17">
        <v>100</v>
      </c>
      <c r="U3" s="17">
        <v>100</v>
      </c>
      <c r="V3" s="17">
        <v>100</v>
      </c>
    </row>
    <row r="4" spans="1:23" x14ac:dyDescent="0.35">
      <c r="A4" s="10" t="s">
        <v>3</v>
      </c>
      <c r="B4" s="17">
        <v>0.25</v>
      </c>
      <c r="C4" s="17">
        <v>0.25</v>
      </c>
      <c r="D4" s="17">
        <v>0.25</v>
      </c>
      <c r="E4" s="17">
        <v>0.25</v>
      </c>
      <c r="F4" s="17">
        <v>0.25</v>
      </c>
      <c r="G4" s="17">
        <v>0.25</v>
      </c>
      <c r="H4" s="17">
        <v>0.25</v>
      </c>
      <c r="I4" s="17">
        <v>0.25</v>
      </c>
      <c r="J4" s="17">
        <v>0.25</v>
      </c>
      <c r="K4" s="17">
        <v>0.25</v>
      </c>
      <c r="L4" s="17">
        <v>0.25</v>
      </c>
      <c r="M4" s="17">
        <v>0.25</v>
      </c>
      <c r="N4" s="17">
        <v>0.25</v>
      </c>
      <c r="O4" s="17">
        <v>0.25</v>
      </c>
      <c r="P4" s="17">
        <v>0.25</v>
      </c>
      <c r="Q4" s="17">
        <v>0.25</v>
      </c>
      <c r="R4" s="17">
        <v>0.25</v>
      </c>
      <c r="S4" s="17">
        <v>0.25</v>
      </c>
      <c r="T4" s="17">
        <v>0.25</v>
      </c>
      <c r="U4" s="17">
        <v>0.25</v>
      </c>
      <c r="V4" s="17">
        <v>0.25</v>
      </c>
    </row>
    <row r="5" spans="1:23" x14ac:dyDescent="0.35">
      <c r="A5" s="18" t="s">
        <v>4</v>
      </c>
      <c r="B5" s="17">
        <v>0.04</v>
      </c>
      <c r="C5" s="17">
        <v>0.04</v>
      </c>
      <c r="D5" s="17">
        <v>0.04</v>
      </c>
      <c r="E5" s="17">
        <v>0.04</v>
      </c>
      <c r="F5" s="17">
        <v>0.04</v>
      </c>
      <c r="G5" s="17">
        <v>0.04</v>
      </c>
      <c r="H5" s="17">
        <v>0.04</v>
      </c>
      <c r="I5" s="17">
        <v>0.04</v>
      </c>
      <c r="J5" s="17">
        <v>0.04</v>
      </c>
      <c r="K5" s="17">
        <v>0.04</v>
      </c>
      <c r="L5" s="17">
        <v>0.04</v>
      </c>
      <c r="M5" s="17">
        <v>0.04</v>
      </c>
      <c r="N5" s="17">
        <v>0.04</v>
      </c>
      <c r="O5" s="17">
        <v>0.04</v>
      </c>
      <c r="P5" s="17">
        <v>0.04</v>
      </c>
      <c r="Q5" s="17">
        <v>0.04</v>
      </c>
      <c r="R5" s="17">
        <v>0.04</v>
      </c>
      <c r="S5" s="17">
        <v>0.04</v>
      </c>
      <c r="T5" s="17">
        <v>0.04</v>
      </c>
      <c r="U5" s="17">
        <v>0.04</v>
      </c>
      <c r="V5" s="17">
        <v>0.04</v>
      </c>
    </row>
    <row r="6" spans="1:23" x14ac:dyDescent="0.35">
      <c r="A6" s="10" t="s">
        <v>29</v>
      </c>
      <c r="B6" s="17">
        <v>0.04</v>
      </c>
      <c r="C6" s="17">
        <v>0.04</v>
      </c>
      <c r="D6" s="17">
        <v>0.04</v>
      </c>
      <c r="E6" s="17">
        <v>0.04</v>
      </c>
      <c r="F6" s="17">
        <v>0.04</v>
      </c>
      <c r="G6" s="17">
        <v>0.04</v>
      </c>
      <c r="H6" s="17">
        <v>0.04</v>
      </c>
      <c r="I6" s="17">
        <v>0.04</v>
      </c>
      <c r="J6" s="17">
        <v>0.04</v>
      </c>
      <c r="K6" s="17">
        <v>0.04</v>
      </c>
      <c r="L6" s="17">
        <v>0.04</v>
      </c>
      <c r="M6" s="17">
        <v>0.04</v>
      </c>
      <c r="N6" s="17">
        <v>0.04</v>
      </c>
      <c r="O6" s="17">
        <v>0.04</v>
      </c>
      <c r="P6" s="17">
        <v>0.04</v>
      </c>
      <c r="Q6" s="17">
        <v>0.04</v>
      </c>
      <c r="R6" s="17">
        <v>0.04</v>
      </c>
      <c r="S6" s="17">
        <v>0.04</v>
      </c>
      <c r="T6" s="17">
        <v>0.04</v>
      </c>
      <c r="U6" s="17">
        <v>0.04</v>
      </c>
      <c r="V6" s="17">
        <v>0.04</v>
      </c>
    </row>
    <row r="7" spans="1:23" x14ac:dyDescent="0.35">
      <c r="A7" s="18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x14ac:dyDescent="0.35">
      <c r="A8" s="16" t="s">
        <v>30</v>
      </c>
      <c r="B8" s="24">
        <f>IF(B2&lt;B10,((B3/(B11-1))*(B2/B10)^B11),B9)</f>
        <v>0</v>
      </c>
      <c r="C8" s="24">
        <f t="shared" ref="C8:V8" si="1">IF(C2&lt;C10,((C3/(C11-1))*(C2/C10)^C11),C9)</f>
        <v>2.7547336414741639</v>
      </c>
      <c r="D8" s="24">
        <f t="shared" si="1"/>
        <v>9.1822296666150898</v>
      </c>
      <c r="E8" s="24">
        <f t="shared" si="1"/>
        <v>18.56977488419637</v>
      </c>
      <c r="F8" s="24">
        <f>IF(F2&lt;F10,((F3/(F11-1))*(F2/F10)^F11),F9)</f>
        <v>30.606712889071549</v>
      </c>
      <c r="G8" s="24">
        <f t="shared" si="1"/>
        <v>45.096492214699531</v>
      </c>
      <c r="H8" s="24">
        <f t="shared" si="1"/>
        <v>61.897794863674804</v>
      </c>
      <c r="I8" s="24">
        <f t="shared" si="1"/>
        <v>80.901612457306967</v>
      </c>
      <c r="J8" s="24">
        <f t="shared" si="1"/>
        <v>102.01997857666161</v>
      </c>
      <c r="K8" s="24">
        <f t="shared" si="1"/>
        <v>125.17963045791781</v>
      </c>
      <c r="L8" s="24">
        <f>IF(L2&lt;L10,((L3/(L11-1))*(L2/L10)^L11),L9)</f>
        <v>150</v>
      </c>
      <c r="M8" s="24">
        <f t="shared" si="1"/>
        <v>175</v>
      </c>
      <c r="N8" s="24">
        <f t="shared" si="1"/>
        <v>200</v>
      </c>
      <c r="O8" s="24">
        <f t="shared" si="1"/>
        <v>225</v>
      </c>
      <c r="P8" s="24">
        <f t="shared" si="1"/>
        <v>250</v>
      </c>
      <c r="Q8" s="24">
        <f t="shared" si="1"/>
        <v>275</v>
      </c>
      <c r="R8" s="24">
        <f t="shared" si="1"/>
        <v>300</v>
      </c>
      <c r="S8" s="24">
        <f t="shared" si="1"/>
        <v>325</v>
      </c>
      <c r="T8" s="24">
        <f t="shared" si="1"/>
        <v>350</v>
      </c>
      <c r="U8" s="24">
        <f t="shared" si="1"/>
        <v>375</v>
      </c>
      <c r="V8" s="24">
        <f t="shared" si="1"/>
        <v>400</v>
      </c>
      <c r="W8">
        <v>7</v>
      </c>
    </row>
    <row r="9" spans="1:23" x14ac:dyDescent="0.35">
      <c r="A9" s="16" t="s">
        <v>48</v>
      </c>
      <c r="B9" s="24">
        <f>MAX(B2/B6-B3,0)</f>
        <v>0</v>
      </c>
      <c r="C9" s="24">
        <f t="shared" ref="C9:V9" si="2">MAX(C2/C6-C3,0)</f>
        <v>0</v>
      </c>
      <c r="D9" s="24">
        <f t="shared" si="2"/>
        <v>0</v>
      </c>
      <c r="E9" s="24">
        <f t="shared" si="2"/>
        <v>0</v>
      </c>
      <c r="F9" s="24">
        <f>MAX(F2/F6-F3,0)</f>
        <v>0</v>
      </c>
      <c r="G9" s="24">
        <f t="shared" si="2"/>
        <v>25</v>
      </c>
      <c r="H9" s="24">
        <f t="shared" si="2"/>
        <v>50</v>
      </c>
      <c r="I9" s="24">
        <f t="shared" si="2"/>
        <v>75</v>
      </c>
      <c r="J9" s="24">
        <f t="shared" si="2"/>
        <v>100</v>
      </c>
      <c r="K9" s="24">
        <f t="shared" si="2"/>
        <v>125</v>
      </c>
      <c r="L9" s="24">
        <f>MAX(L2/L6-L3,0)</f>
        <v>150</v>
      </c>
      <c r="M9" s="24">
        <f t="shared" si="2"/>
        <v>175</v>
      </c>
      <c r="N9" s="24">
        <f t="shared" si="2"/>
        <v>200</v>
      </c>
      <c r="O9" s="24">
        <f t="shared" si="2"/>
        <v>225</v>
      </c>
      <c r="P9" s="24">
        <f t="shared" si="2"/>
        <v>250</v>
      </c>
      <c r="Q9" s="24">
        <f t="shared" si="2"/>
        <v>275</v>
      </c>
      <c r="R9" s="24">
        <f t="shared" si="2"/>
        <v>300</v>
      </c>
      <c r="S9" s="24">
        <f t="shared" si="2"/>
        <v>325</v>
      </c>
      <c r="T9" s="24">
        <f t="shared" si="2"/>
        <v>350</v>
      </c>
      <c r="U9" s="24">
        <f t="shared" si="2"/>
        <v>375</v>
      </c>
      <c r="V9" s="24">
        <f t="shared" si="2"/>
        <v>400</v>
      </c>
    </row>
    <row r="10" spans="1:23" x14ac:dyDescent="0.35">
      <c r="A10" s="16" t="s">
        <v>82</v>
      </c>
      <c r="B10" s="24">
        <f>(B11/(B11-1))*B3*B6</f>
        <v>9.4279115240165563</v>
      </c>
      <c r="C10" s="24">
        <f t="shared" ref="C10:V10" si="3">(C11/(C11-1))*C3*C6</f>
        <v>9.4279115240165563</v>
      </c>
      <c r="D10" s="24">
        <f t="shared" si="3"/>
        <v>9.4279115240165563</v>
      </c>
      <c r="E10" s="24">
        <f t="shared" si="3"/>
        <v>9.4279115240165563</v>
      </c>
      <c r="F10" s="24">
        <f t="shared" si="3"/>
        <v>9.4279115240165563</v>
      </c>
      <c r="G10" s="24">
        <f t="shared" si="3"/>
        <v>9.4279115240165563</v>
      </c>
      <c r="H10" s="24">
        <f t="shared" si="3"/>
        <v>9.4279115240165563</v>
      </c>
      <c r="I10" s="24">
        <f t="shared" si="3"/>
        <v>9.4279115240165563</v>
      </c>
      <c r="J10" s="24">
        <f t="shared" si="3"/>
        <v>9.4279115240165563</v>
      </c>
      <c r="K10" s="24">
        <f t="shared" si="3"/>
        <v>9.4279115240165563</v>
      </c>
      <c r="L10" s="24">
        <f t="shared" si="3"/>
        <v>9.4279115240165563</v>
      </c>
      <c r="M10" s="24">
        <f t="shared" si="3"/>
        <v>9.4279115240165563</v>
      </c>
      <c r="N10" s="24">
        <f t="shared" si="3"/>
        <v>9.4279115240165563</v>
      </c>
      <c r="O10" s="24">
        <f t="shared" si="3"/>
        <v>9.4279115240165563</v>
      </c>
      <c r="P10" s="24">
        <f t="shared" si="3"/>
        <v>9.4279115240165563</v>
      </c>
      <c r="Q10" s="24">
        <f t="shared" si="3"/>
        <v>9.4279115240165563</v>
      </c>
      <c r="R10" s="24">
        <f t="shared" si="3"/>
        <v>9.4279115240165563</v>
      </c>
      <c r="S10" s="24">
        <f t="shared" si="3"/>
        <v>9.4279115240165563</v>
      </c>
      <c r="T10" s="24">
        <f t="shared" si="3"/>
        <v>9.4279115240165563</v>
      </c>
      <c r="U10" s="24">
        <f t="shared" si="3"/>
        <v>9.4279115240165563</v>
      </c>
      <c r="V10" s="24">
        <f t="shared" si="3"/>
        <v>9.4279115240165563</v>
      </c>
    </row>
    <row r="11" spans="1:23" ht="15.5" x14ac:dyDescent="0.4">
      <c r="A11" s="10" t="s">
        <v>7</v>
      </c>
      <c r="B11" s="24">
        <f>0.5-(B5-B6)/(B4^2)+SQRT(((B5-B6)/(B4^2)-0.5)^2 + 2*B5/(B4^2))</f>
        <v>1.7369316876852983</v>
      </c>
      <c r="C11" s="24">
        <f t="shared" ref="C11:V11" si="4">0.5-(C5-C6)/(C4^2)+SQRT(((C5-C6)/(C4^2)-0.5)^2 + 2*C5/(C4^2))</f>
        <v>1.7369316876852983</v>
      </c>
      <c r="D11" s="24">
        <f t="shared" si="4"/>
        <v>1.7369316876852983</v>
      </c>
      <c r="E11" s="24">
        <f t="shared" si="4"/>
        <v>1.7369316876852983</v>
      </c>
      <c r="F11" s="24">
        <f t="shared" si="4"/>
        <v>1.7369316876852983</v>
      </c>
      <c r="G11" s="24">
        <f t="shared" si="4"/>
        <v>1.7369316876852983</v>
      </c>
      <c r="H11" s="24">
        <f t="shared" si="4"/>
        <v>1.7369316876852983</v>
      </c>
      <c r="I11" s="24">
        <f t="shared" si="4"/>
        <v>1.7369316876852983</v>
      </c>
      <c r="J11" s="24">
        <f t="shared" si="4"/>
        <v>1.7369316876852983</v>
      </c>
      <c r="K11" s="24">
        <f t="shared" si="4"/>
        <v>1.7369316876852983</v>
      </c>
      <c r="L11" s="24">
        <f t="shared" si="4"/>
        <v>1.7369316876852983</v>
      </c>
      <c r="M11" s="24">
        <f t="shared" si="4"/>
        <v>1.7369316876852983</v>
      </c>
      <c r="N11" s="24">
        <f t="shared" si="4"/>
        <v>1.7369316876852983</v>
      </c>
      <c r="O11" s="24">
        <f t="shared" si="4"/>
        <v>1.7369316876852983</v>
      </c>
      <c r="P11" s="24">
        <f t="shared" si="4"/>
        <v>1.7369316876852983</v>
      </c>
      <c r="Q11" s="24">
        <f t="shared" si="4"/>
        <v>1.7369316876852983</v>
      </c>
      <c r="R11" s="24">
        <f t="shared" si="4"/>
        <v>1.7369316876852983</v>
      </c>
      <c r="S11" s="24">
        <f t="shared" si="4"/>
        <v>1.7369316876852983</v>
      </c>
      <c r="T11" s="24">
        <f t="shared" si="4"/>
        <v>1.7369316876852983</v>
      </c>
      <c r="U11" s="24">
        <f t="shared" si="4"/>
        <v>1.7369316876852983</v>
      </c>
      <c r="V11" s="24">
        <f t="shared" si="4"/>
        <v>1.7369316876852983</v>
      </c>
    </row>
    <row r="12" spans="1:23" x14ac:dyDescent="0.35">
      <c r="A12" s="25" t="s">
        <v>52</v>
      </c>
      <c r="B12" s="3">
        <f>(B3*(B10^-B11))/(B11-1)</f>
        <v>2.7547336414741652</v>
      </c>
      <c r="C12" s="3">
        <f t="shared" ref="C12:V12" si="5">(C3*(C10^-C11))/(C11-1)</f>
        <v>2.7547336414741652</v>
      </c>
      <c r="D12" s="3">
        <f t="shared" si="5"/>
        <v>2.7547336414741652</v>
      </c>
      <c r="E12" s="3">
        <f t="shared" si="5"/>
        <v>2.7547336414741652</v>
      </c>
      <c r="F12" s="3">
        <f t="shared" si="5"/>
        <v>2.7547336414741652</v>
      </c>
      <c r="G12" s="3">
        <f t="shared" si="5"/>
        <v>2.7547336414741652</v>
      </c>
      <c r="H12" s="3">
        <f t="shared" si="5"/>
        <v>2.7547336414741652</v>
      </c>
      <c r="I12" s="3">
        <f t="shared" si="5"/>
        <v>2.7547336414741652</v>
      </c>
      <c r="J12" s="3">
        <f t="shared" si="5"/>
        <v>2.7547336414741652</v>
      </c>
      <c r="K12" s="3">
        <f t="shared" si="5"/>
        <v>2.7547336414741652</v>
      </c>
      <c r="L12" s="3">
        <f t="shared" si="5"/>
        <v>2.7547336414741652</v>
      </c>
      <c r="M12" s="3">
        <f t="shared" si="5"/>
        <v>2.7547336414741652</v>
      </c>
      <c r="N12" s="3">
        <f t="shared" si="5"/>
        <v>2.7547336414741652</v>
      </c>
      <c r="O12" s="3">
        <f t="shared" si="5"/>
        <v>2.7547336414741652</v>
      </c>
      <c r="P12" s="3">
        <f t="shared" si="5"/>
        <v>2.7547336414741652</v>
      </c>
      <c r="Q12" s="3">
        <f t="shared" si="5"/>
        <v>2.7547336414741652</v>
      </c>
      <c r="R12" s="3">
        <f t="shared" si="5"/>
        <v>2.7547336414741652</v>
      </c>
      <c r="S12" s="3">
        <f t="shared" si="5"/>
        <v>2.7547336414741652</v>
      </c>
      <c r="T12" s="3">
        <f t="shared" si="5"/>
        <v>2.7547336414741652</v>
      </c>
      <c r="U12" s="3">
        <f t="shared" si="5"/>
        <v>2.7547336414741652</v>
      </c>
      <c r="V12" s="3">
        <f t="shared" si="5"/>
        <v>2.7547336414741652</v>
      </c>
    </row>
    <row r="13" spans="1:23" x14ac:dyDescent="0.35">
      <c r="A13" s="25" t="s">
        <v>54</v>
      </c>
      <c r="B13" s="3">
        <f t="shared" ref="B13:V13" si="6">IF(B2&lt;$F$1,$F$1/B5+B22*(B2^B11),IF(B2&gt;$W$1,$W$1/B5+B25*(B2^B18),B2/B6+B23*(B2^B11)+B24*(B2^B18)))</f>
        <v>100</v>
      </c>
      <c r="C13" s="3">
        <f t="shared" si="6"/>
        <v>102.52700068939627</v>
      </c>
      <c r="D13" s="3">
        <f t="shared" si="6"/>
        <v>108.42313766688315</v>
      </c>
      <c r="E13" s="3">
        <f t="shared" si="6"/>
        <v>117.0346175135778</v>
      </c>
      <c r="F13" s="3">
        <f t="shared" si="6"/>
        <v>128.07646569032647</v>
      </c>
      <c r="G13" s="3">
        <f t="shared" si="6"/>
        <v>141.10219023377678</v>
      </c>
      <c r="H13" s="3">
        <f t="shared" si="6"/>
        <v>155.01341781382564</v>
      </c>
      <c r="I13" s="3">
        <f t="shared" si="6"/>
        <v>169.12810291187117</v>
      </c>
      <c r="J13" s="3">
        <f t="shared" si="6"/>
        <v>183.10130477324265</v>
      </c>
      <c r="K13" s="3">
        <f t="shared" si="6"/>
        <v>196.742728059206</v>
      </c>
      <c r="L13" s="3">
        <f t="shared" si="6"/>
        <v>209.94108256945248</v>
      </c>
      <c r="M13" s="3">
        <f t="shared" si="6"/>
        <v>222.62873282370953</v>
      </c>
      <c r="N13" s="3">
        <f t="shared" si="6"/>
        <v>234.76363943066622</v>
      </c>
      <c r="O13" s="3">
        <f t="shared" si="6"/>
        <v>246.31947723212213</v>
      </c>
      <c r="P13" s="3">
        <f t="shared" si="6"/>
        <v>257.27992397485264</v>
      </c>
      <c r="Q13" s="3">
        <f t="shared" si="6"/>
        <v>267.63520950189883</v>
      </c>
      <c r="R13" s="3">
        <f t="shared" si="6"/>
        <v>277.37995293603757</v>
      </c>
      <c r="S13" s="3">
        <f t="shared" si="6"/>
        <v>286.51176499571119</v>
      </c>
      <c r="T13" s="3">
        <f t="shared" si="6"/>
        <v>295.03032118493246</v>
      </c>
      <c r="U13" s="3">
        <f t="shared" si="6"/>
        <v>302.93673366735646</v>
      </c>
      <c r="V13" s="3">
        <f t="shared" si="6"/>
        <v>310.23311761878489</v>
      </c>
      <c r="W13">
        <v>10</v>
      </c>
    </row>
    <row r="14" spans="1:23" x14ac:dyDescent="0.35">
      <c r="A14" s="25" t="s">
        <v>74</v>
      </c>
      <c r="B14" s="3">
        <f>IF(B2&lt;B20,B21*(B2^B11),B2/B6-B3+B23*(B2^B11)+B24*(B2^B18))</f>
        <v>0</v>
      </c>
      <c r="C14" s="3">
        <f t="shared" ref="C14:V14" si="7">IF(C2&lt;C20,C21*(C2^C11),C2/C6-C3+C23*(C2^C11)+C24*(C2^C18))</f>
        <v>2.5270006893962709</v>
      </c>
      <c r="D14" s="3">
        <f t="shared" si="7"/>
        <v>8.4231376668831537</v>
      </c>
      <c r="E14" s="3">
        <f t="shared" si="7"/>
        <v>17.03461751357781</v>
      </c>
      <c r="F14" s="3">
        <f t="shared" si="7"/>
        <v>28.076465690326494</v>
      </c>
      <c r="G14" s="3">
        <f t="shared" si="7"/>
        <v>41.102190233776788</v>
      </c>
      <c r="H14" s="3">
        <f t="shared" si="7"/>
        <v>55.013417813825626</v>
      </c>
      <c r="I14" s="3">
        <f t="shared" si="7"/>
        <v>69.128102911871167</v>
      </c>
      <c r="J14" s="3">
        <f t="shared" si="7"/>
        <v>83.10130477324266</v>
      </c>
      <c r="K14" s="3">
        <f t="shared" si="7"/>
        <v>96.742728059206001</v>
      </c>
      <c r="L14" s="3">
        <f t="shared" si="7"/>
        <v>109.94108256945248</v>
      </c>
      <c r="M14" s="3">
        <f t="shared" si="7"/>
        <v>122.62873282370953</v>
      </c>
      <c r="N14" s="3">
        <f t="shared" si="7"/>
        <v>134.76363943066625</v>
      </c>
      <c r="O14" s="3">
        <f t="shared" si="7"/>
        <v>146.31947723212213</v>
      </c>
      <c r="P14" s="3">
        <f t="shared" si="7"/>
        <v>157.27992397485264</v>
      </c>
      <c r="Q14" s="3">
        <f t="shared" si="7"/>
        <v>167.63520950189886</v>
      </c>
      <c r="R14" s="3">
        <f t="shared" si="7"/>
        <v>177.37995293603757</v>
      </c>
      <c r="S14" s="3">
        <f t="shared" si="7"/>
        <v>186.51176499571116</v>
      </c>
      <c r="T14" s="3">
        <f t="shared" si="7"/>
        <v>195.03032118493246</v>
      </c>
      <c r="U14" s="3">
        <f t="shared" si="7"/>
        <v>202.93673366735644</v>
      </c>
      <c r="V14" s="3">
        <f t="shared" si="7"/>
        <v>210.23311761878492</v>
      </c>
      <c r="W14">
        <v>20</v>
      </c>
    </row>
    <row r="15" spans="1:23" x14ac:dyDescent="0.35">
      <c r="A15" s="16" t="s">
        <v>106</v>
      </c>
      <c r="B15" s="24">
        <f t="shared" ref="B15:V15" si="8">IF(B2&gt;B17,(-B3/(B18-1))*(B2/B17)^B18,B16)</f>
        <v>100</v>
      </c>
      <c r="C15" s="24">
        <f t="shared" si="8"/>
        <v>75</v>
      </c>
      <c r="D15" s="24">
        <f t="shared" si="8"/>
        <v>51.009989288330821</v>
      </c>
      <c r="E15" s="24">
        <f t="shared" si="8"/>
        <v>37.834500406543242</v>
      </c>
      <c r="F15" s="24">
        <f>IF(F2&gt;F17,(-F3/(F18-1))*(F2/F17)^F18,F16)</f>
        <v>30.606712889071552</v>
      </c>
      <c r="G15" s="24">
        <f t="shared" si="8"/>
        <v>25.965735578007759</v>
      </c>
      <c r="H15" s="24">
        <f t="shared" si="8"/>
        <v>22.701233766175971</v>
      </c>
      <c r="I15" s="24">
        <f t="shared" si="8"/>
        <v>20.263490176351084</v>
      </c>
      <c r="J15" s="24">
        <f t="shared" si="8"/>
        <v>18.36445933323019</v>
      </c>
      <c r="K15" s="24">
        <f t="shared" si="8"/>
        <v>16.837679249462223</v>
      </c>
      <c r="L15" s="24">
        <f>IF(L2&gt;L17,(-L3/(L18-1))*(L2/L17)^L18,L16)</f>
        <v>15.579807501967805</v>
      </c>
      <c r="M15" s="24">
        <f t="shared" si="8"/>
        <v>14.523072522612008</v>
      </c>
      <c r="N15" s="24">
        <f t="shared" si="8"/>
        <v>13.621060380579047</v>
      </c>
      <c r="O15" s="24">
        <f t="shared" si="8"/>
        <v>12.840845496181464</v>
      </c>
      <c r="P15" s="24">
        <f t="shared" si="8"/>
        <v>12.158379850904575</v>
      </c>
      <c r="Q15" s="24">
        <f t="shared" si="8"/>
        <v>11.55566275333274</v>
      </c>
      <c r="R15" s="24">
        <f t="shared" si="8"/>
        <v>11.018934565896661</v>
      </c>
      <c r="S15" s="24">
        <f t="shared" si="8"/>
        <v>10.537485131511337</v>
      </c>
      <c r="T15" s="24">
        <f t="shared" si="8"/>
        <v>10.102844985785165</v>
      </c>
      <c r="U15" s="24">
        <f t="shared" si="8"/>
        <v>9.7082226017473019</v>
      </c>
      <c r="V15" s="24">
        <f t="shared" si="8"/>
        <v>9.3481041994419023</v>
      </c>
    </row>
    <row r="16" spans="1:23" x14ac:dyDescent="0.35">
      <c r="A16" s="16" t="s">
        <v>84</v>
      </c>
      <c r="B16" s="3">
        <f>MAX(B3-B2/B6,0)</f>
        <v>100</v>
      </c>
      <c r="C16" s="3">
        <f t="shared" ref="C16:V16" si="9">MAX(C3-C2/C6,0)</f>
        <v>75</v>
      </c>
      <c r="D16" s="3">
        <f t="shared" si="9"/>
        <v>50</v>
      </c>
      <c r="E16" s="3">
        <f t="shared" si="9"/>
        <v>25</v>
      </c>
      <c r="F16" s="3">
        <f>MAX(F3-F2/F6,0)</f>
        <v>0</v>
      </c>
      <c r="G16" s="3">
        <f t="shared" si="9"/>
        <v>0</v>
      </c>
      <c r="H16" s="3">
        <f t="shared" si="9"/>
        <v>0</v>
      </c>
      <c r="I16" s="3">
        <f t="shared" si="9"/>
        <v>0</v>
      </c>
      <c r="J16" s="3">
        <f t="shared" si="9"/>
        <v>0</v>
      </c>
      <c r="K16" s="3">
        <f t="shared" si="9"/>
        <v>0</v>
      </c>
      <c r="L16" s="3">
        <f>MAX(L3-L2/L6,0)</f>
        <v>0</v>
      </c>
      <c r="M16" s="3">
        <f t="shared" si="9"/>
        <v>0</v>
      </c>
      <c r="N16" s="3">
        <f t="shared" si="9"/>
        <v>0</v>
      </c>
      <c r="O16" s="3">
        <f t="shared" si="9"/>
        <v>0</v>
      </c>
      <c r="P16" s="3">
        <f t="shared" si="9"/>
        <v>0</v>
      </c>
      <c r="Q16" s="3">
        <f t="shared" si="9"/>
        <v>0</v>
      </c>
      <c r="R16" s="3">
        <f t="shared" si="9"/>
        <v>0</v>
      </c>
      <c r="S16" s="3">
        <f t="shared" si="9"/>
        <v>0</v>
      </c>
      <c r="T16" s="3">
        <f t="shared" si="9"/>
        <v>0</v>
      </c>
      <c r="U16" s="3">
        <f t="shared" si="9"/>
        <v>0</v>
      </c>
      <c r="V16" s="3">
        <f t="shared" si="9"/>
        <v>0</v>
      </c>
    </row>
    <row r="17" spans="1:23" x14ac:dyDescent="0.35">
      <c r="A17" s="16" t="s">
        <v>82</v>
      </c>
      <c r="B17" s="28">
        <f>(B18/(B18-1))*B3*B6</f>
        <v>1.6970884759834435</v>
      </c>
      <c r="C17" s="28">
        <f t="shared" ref="C17:V17" si="10">(C18/(C18-1))*C3*C6</f>
        <v>1.6970884759834435</v>
      </c>
      <c r="D17" s="28">
        <f t="shared" si="10"/>
        <v>1.6970884759834435</v>
      </c>
      <c r="E17" s="28">
        <f t="shared" si="10"/>
        <v>1.6970884759834435</v>
      </c>
      <c r="F17" s="28">
        <f t="shared" si="10"/>
        <v>1.6970884759834435</v>
      </c>
      <c r="G17" s="28">
        <f t="shared" si="10"/>
        <v>1.6970884759834435</v>
      </c>
      <c r="H17" s="28">
        <f t="shared" si="10"/>
        <v>1.6970884759834435</v>
      </c>
      <c r="I17" s="28">
        <f t="shared" si="10"/>
        <v>1.6970884759834435</v>
      </c>
      <c r="J17" s="28">
        <f t="shared" si="10"/>
        <v>1.6970884759834435</v>
      </c>
      <c r="K17" s="28">
        <f t="shared" si="10"/>
        <v>1.6970884759834435</v>
      </c>
      <c r="L17" s="28">
        <f t="shared" si="10"/>
        <v>1.6970884759834435</v>
      </c>
      <c r="M17" s="28">
        <f t="shared" si="10"/>
        <v>1.6970884759834435</v>
      </c>
      <c r="N17" s="28">
        <f t="shared" si="10"/>
        <v>1.6970884759834435</v>
      </c>
      <c r="O17" s="28">
        <f t="shared" si="10"/>
        <v>1.6970884759834435</v>
      </c>
      <c r="P17" s="28">
        <f t="shared" si="10"/>
        <v>1.6970884759834435</v>
      </c>
      <c r="Q17" s="28">
        <f t="shared" si="10"/>
        <v>1.6970884759834435</v>
      </c>
      <c r="R17" s="28">
        <f t="shared" si="10"/>
        <v>1.6970884759834435</v>
      </c>
      <c r="S17" s="28">
        <f t="shared" si="10"/>
        <v>1.6970884759834435</v>
      </c>
      <c r="T17" s="28">
        <f t="shared" si="10"/>
        <v>1.6970884759834435</v>
      </c>
      <c r="U17" s="28">
        <f t="shared" si="10"/>
        <v>1.6970884759834435</v>
      </c>
      <c r="V17" s="28">
        <f t="shared" si="10"/>
        <v>1.6970884759834435</v>
      </c>
    </row>
    <row r="18" spans="1:23" x14ac:dyDescent="0.35">
      <c r="A18" s="10" t="s">
        <v>12</v>
      </c>
      <c r="B18" s="24">
        <f>0.5-(B5-B6)/(B4^2)-SQRT(((B5-B6)/(B4^2)-0.5)^2 + 2*B5/(B4^2))</f>
        <v>-0.73693168768529826</v>
      </c>
      <c r="C18" s="24">
        <f t="shared" ref="C18:V18" si="11">0.5-(C5-C6)/(C4^2)-SQRT(((C5-C6)/(C4^2)-0.5)^2 + 2*C5/(C4^2))</f>
        <v>-0.73693168768529826</v>
      </c>
      <c r="D18" s="24">
        <f t="shared" si="11"/>
        <v>-0.73693168768529826</v>
      </c>
      <c r="E18" s="24">
        <f t="shared" si="11"/>
        <v>-0.73693168768529826</v>
      </c>
      <c r="F18" s="24">
        <f t="shared" si="11"/>
        <v>-0.73693168768529826</v>
      </c>
      <c r="G18" s="24">
        <f t="shared" si="11"/>
        <v>-0.73693168768529826</v>
      </c>
      <c r="H18" s="24">
        <f t="shared" si="11"/>
        <v>-0.73693168768529826</v>
      </c>
      <c r="I18" s="24">
        <f t="shared" si="11"/>
        <v>-0.73693168768529826</v>
      </c>
      <c r="J18" s="24">
        <f t="shared" si="11"/>
        <v>-0.73693168768529826</v>
      </c>
      <c r="K18" s="24">
        <f t="shared" si="11"/>
        <v>-0.73693168768529826</v>
      </c>
      <c r="L18" s="24">
        <f t="shared" si="11"/>
        <v>-0.73693168768529826</v>
      </c>
      <c r="M18" s="24">
        <f t="shared" si="11"/>
        <v>-0.73693168768529826</v>
      </c>
      <c r="N18" s="24">
        <f t="shared" si="11"/>
        <v>-0.73693168768529826</v>
      </c>
      <c r="O18" s="24">
        <f t="shared" si="11"/>
        <v>-0.73693168768529826</v>
      </c>
      <c r="P18" s="24">
        <f t="shared" si="11"/>
        <v>-0.73693168768529826</v>
      </c>
      <c r="Q18" s="24">
        <f t="shared" si="11"/>
        <v>-0.73693168768529826</v>
      </c>
      <c r="R18" s="24">
        <f t="shared" si="11"/>
        <v>-0.73693168768529826</v>
      </c>
      <c r="S18" s="24">
        <f t="shared" si="11"/>
        <v>-0.73693168768529826</v>
      </c>
      <c r="T18" s="24">
        <f t="shared" si="11"/>
        <v>-0.73693168768529826</v>
      </c>
      <c r="U18" s="24">
        <f t="shared" si="11"/>
        <v>-0.73693168768529826</v>
      </c>
      <c r="V18" s="24">
        <f t="shared" si="11"/>
        <v>-0.73693168768529826</v>
      </c>
    </row>
    <row r="19" spans="1:23" x14ac:dyDescent="0.35">
      <c r="A19" s="8" t="s">
        <v>76</v>
      </c>
      <c r="B19" s="24">
        <f>B20/B6-(B11/(B11-1))*B3+((B11-B18)/(B11-1))*B24*(B20^B18)</f>
        <v>0</v>
      </c>
      <c r="C19" s="24">
        <f t="shared" ref="C19:V19" si="12">C20/C6-(C11/(C11-1))*C3+((C11-C18)/(C11-1))*C24*(C20^C18)</f>
        <v>0</v>
      </c>
      <c r="D19" s="24">
        <f t="shared" si="12"/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 s="24">
        <f t="shared" si="12"/>
        <v>0</v>
      </c>
      <c r="P19" s="24">
        <f t="shared" si="12"/>
        <v>0</v>
      </c>
      <c r="Q19" s="24">
        <f t="shared" si="12"/>
        <v>0</v>
      </c>
      <c r="R19" s="24">
        <f t="shared" si="12"/>
        <v>0</v>
      </c>
      <c r="S19" s="24">
        <f t="shared" si="12"/>
        <v>0</v>
      </c>
      <c r="T19" s="24">
        <f t="shared" si="12"/>
        <v>0</v>
      </c>
      <c r="U19" s="24">
        <f t="shared" si="12"/>
        <v>0</v>
      </c>
      <c r="V19" s="24">
        <f t="shared" si="12"/>
        <v>0</v>
      </c>
      <c r="W19">
        <v>18</v>
      </c>
    </row>
    <row r="20" spans="1:23" x14ac:dyDescent="0.35">
      <c r="A20" s="8" t="s">
        <v>11</v>
      </c>
      <c r="B20" s="24">
        <v>3.9999999072717407</v>
      </c>
      <c r="C20" s="24">
        <v>3.9999999072717407</v>
      </c>
      <c r="D20" s="24">
        <v>3.9999999072717407</v>
      </c>
      <c r="E20" s="24">
        <v>3.9999999072717407</v>
      </c>
      <c r="F20" s="24">
        <v>3.9999999072717407</v>
      </c>
      <c r="G20" s="24">
        <v>3.9999999072717407</v>
      </c>
      <c r="H20" s="24">
        <v>3.9999999072717407</v>
      </c>
      <c r="I20" s="24">
        <v>3.9999999072717407</v>
      </c>
      <c r="J20" s="24">
        <v>3.9999999072717407</v>
      </c>
      <c r="K20" s="24">
        <v>3.9999999072717407</v>
      </c>
      <c r="L20" s="24">
        <v>3.9999999072717407</v>
      </c>
      <c r="M20" s="24">
        <v>3.9999999072717407</v>
      </c>
      <c r="N20" s="24">
        <v>3.9999999072717407</v>
      </c>
      <c r="O20" s="24">
        <v>3.9999999072717407</v>
      </c>
      <c r="P20" s="24">
        <v>3.9999999072717407</v>
      </c>
      <c r="Q20" s="24">
        <v>3.9999999072717407</v>
      </c>
      <c r="R20" s="24">
        <v>3.9999999072717407</v>
      </c>
      <c r="S20" s="24">
        <v>3.9999999072717407</v>
      </c>
      <c r="T20" s="24">
        <v>3.9999999072717407</v>
      </c>
      <c r="U20" s="24">
        <v>3.9999999072717407</v>
      </c>
      <c r="V20" s="24">
        <v>3.9999999072717407</v>
      </c>
    </row>
    <row r="21" spans="1:23" x14ac:dyDescent="0.35">
      <c r="A21" t="s">
        <v>79</v>
      </c>
      <c r="B21" s="3">
        <f>(1/(B11-B18))*((1-B18)*(B20/B6)+B18*B3)*(B20^-B11)+B23</f>
        <v>2.5270006893962709</v>
      </c>
      <c r="C21" s="3">
        <f t="shared" ref="C21:V21" si="13">(1/(C11-C18))*((1-C18)*(C20/C6)+C18*C3)*(C20^-C11)+C23</f>
        <v>2.5270006893962709</v>
      </c>
      <c r="D21" s="3">
        <f t="shared" si="13"/>
        <v>2.5270006893962709</v>
      </c>
      <c r="E21" s="3">
        <f t="shared" si="13"/>
        <v>2.5270006893962709</v>
      </c>
      <c r="F21" s="3">
        <f t="shared" si="13"/>
        <v>2.5270006893962709</v>
      </c>
      <c r="G21" s="3">
        <f t="shared" si="13"/>
        <v>2.5270006893962709</v>
      </c>
      <c r="H21" s="3">
        <f t="shared" si="13"/>
        <v>2.5270006893962709</v>
      </c>
      <c r="I21" s="3">
        <f t="shared" si="13"/>
        <v>2.5270006893962709</v>
      </c>
      <c r="J21" s="3">
        <f t="shared" si="13"/>
        <v>2.5270006893962709</v>
      </c>
      <c r="K21" s="3">
        <f t="shared" si="13"/>
        <v>2.5270006893962709</v>
      </c>
      <c r="L21" s="3">
        <f t="shared" si="13"/>
        <v>2.5270006893962709</v>
      </c>
      <c r="M21" s="3">
        <f t="shared" si="13"/>
        <v>2.5270006893962709</v>
      </c>
      <c r="N21" s="3">
        <f t="shared" si="13"/>
        <v>2.5270006893962709</v>
      </c>
      <c r="O21" s="3">
        <f t="shared" si="13"/>
        <v>2.5270006893962709</v>
      </c>
      <c r="P21" s="3">
        <f t="shared" si="13"/>
        <v>2.5270006893962709</v>
      </c>
      <c r="Q21" s="3">
        <f t="shared" si="13"/>
        <v>2.5270006893962709</v>
      </c>
      <c r="R21" s="3">
        <f t="shared" si="13"/>
        <v>2.5270006893962709</v>
      </c>
      <c r="S21" s="3">
        <f t="shared" si="13"/>
        <v>2.5270006893962709</v>
      </c>
      <c r="T21" s="3">
        <f t="shared" si="13"/>
        <v>2.5270006893962709</v>
      </c>
      <c r="U21" s="3">
        <f t="shared" si="13"/>
        <v>2.5270006893962709</v>
      </c>
      <c r="V21" s="3">
        <f t="shared" si="13"/>
        <v>2.5270006893962709</v>
      </c>
      <c r="W21">
        <v>19</v>
      </c>
    </row>
    <row r="22" spans="1:23" x14ac:dyDescent="0.35">
      <c r="A22" t="s">
        <v>59</v>
      </c>
      <c r="B22" s="3">
        <f t="shared" ref="B22:V22" si="14">($W$1/($W$1^B11)-$F$1/($F$1^B11))*(B26/B28)</f>
        <v>2.52700068939627</v>
      </c>
      <c r="C22" s="3">
        <f t="shared" si="14"/>
        <v>2.52700068939627</v>
      </c>
      <c r="D22" s="3">
        <f t="shared" si="14"/>
        <v>2.52700068939627</v>
      </c>
      <c r="E22" s="3">
        <f t="shared" si="14"/>
        <v>2.52700068939627</v>
      </c>
      <c r="F22" s="3">
        <f t="shared" si="14"/>
        <v>2.52700068939627</v>
      </c>
      <c r="G22" s="3">
        <f t="shared" si="14"/>
        <v>2.52700068939627</v>
      </c>
      <c r="H22" s="3">
        <f t="shared" si="14"/>
        <v>2.52700068939627</v>
      </c>
      <c r="I22" s="3">
        <f t="shared" si="14"/>
        <v>2.52700068939627</v>
      </c>
      <c r="J22" s="3">
        <f t="shared" si="14"/>
        <v>2.52700068939627</v>
      </c>
      <c r="K22" s="3">
        <f t="shared" si="14"/>
        <v>2.52700068939627</v>
      </c>
      <c r="L22" s="3">
        <f t="shared" si="14"/>
        <v>2.52700068939627</v>
      </c>
      <c r="M22" s="3">
        <f t="shared" si="14"/>
        <v>2.52700068939627</v>
      </c>
      <c r="N22" s="3">
        <f t="shared" si="14"/>
        <v>2.52700068939627</v>
      </c>
      <c r="O22" s="3">
        <f t="shared" si="14"/>
        <v>2.52700068939627</v>
      </c>
      <c r="P22" s="3">
        <f t="shared" si="14"/>
        <v>2.52700068939627</v>
      </c>
      <c r="Q22" s="3">
        <f t="shared" si="14"/>
        <v>2.52700068939627</v>
      </c>
      <c r="R22" s="3">
        <f t="shared" si="14"/>
        <v>2.52700068939627</v>
      </c>
      <c r="S22" s="3">
        <f t="shared" si="14"/>
        <v>2.52700068939627</v>
      </c>
      <c r="T22" s="3">
        <f t="shared" si="14"/>
        <v>2.52700068939627</v>
      </c>
      <c r="U22" s="3">
        <f t="shared" si="14"/>
        <v>2.52700068939627</v>
      </c>
      <c r="V22" s="3">
        <f t="shared" si="14"/>
        <v>2.52700068939627</v>
      </c>
    </row>
    <row r="23" spans="1:23" x14ac:dyDescent="0.35">
      <c r="A23" t="s">
        <v>60</v>
      </c>
      <c r="B23" s="3">
        <f t="shared" ref="B23:V23" si="15">($W$1/($W$1^B11))*(B26/B28)</f>
        <v>-1.1112046936571838</v>
      </c>
      <c r="C23" s="3">
        <f t="shared" si="15"/>
        <v>-1.1112046936571838</v>
      </c>
      <c r="D23" s="3">
        <f t="shared" si="15"/>
        <v>-1.1112046936571838</v>
      </c>
      <c r="E23" s="3">
        <f t="shared" si="15"/>
        <v>-1.1112046936571838</v>
      </c>
      <c r="F23" s="3">
        <f t="shared" si="15"/>
        <v>-1.1112046936571838</v>
      </c>
      <c r="G23" s="3">
        <f t="shared" si="15"/>
        <v>-1.1112046936571838</v>
      </c>
      <c r="H23" s="3">
        <f t="shared" si="15"/>
        <v>-1.1112046936571838</v>
      </c>
      <c r="I23" s="3">
        <f t="shared" si="15"/>
        <v>-1.1112046936571838</v>
      </c>
      <c r="J23" s="3">
        <f t="shared" si="15"/>
        <v>-1.1112046936571838</v>
      </c>
      <c r="K23" s="3">
        <f t="shared" si="15"/>
        <v>-1.1112046936571838</v>
      </c>
      <c r="L23" s="3">
        <f t="shared" si="15"/>
        <v>-1.1112046936571838</v>
      </c>
      <c r="M23" s="3">
        <f t="shared" si="15"/>
        <v>-1.1112046936571838</v>
      </c>
      <c r="N23" s="3">
        <f t="shared" si="15"/>
        <v>-1.1112046936571838</v>
      </c>
      <c r="O23" s="3">
        <f t="shared" si="15"/>
        <v>-1.1112046936571838</v>
      </c>
      <c r="P23" s="3">
        <f t="shared" si="15"/>
        <v>-1.1112046936571838</v>
      </c>
      <c r="Q23" s="3">
        <f t="shared" si="15"/>
        <v>-1.1112046936571838</v>
      </c>
      <c r="R23" s="3">
        <f t="shared" si="15"/>
        <v>-1.1112046936571838</v>
      </c>
      <c r="S23" s="3">
        <f t="shared" si="15"/>
        <v>-1.1112046936571838</v>
      </c>
      <c r="T23" s="3">
        <f t="shared" si="15"/>
        <v>-1.1112046936571838</v>
      </c>
      <c r="U23" s="3">
        <f t="shared" si="15"/>
        <v>-1.1112046936571838</v>
      </c>
      <c r="V23" s="3">
        <f t="shared" si="15"/>
        <v>-1.1112046936571838</v>
      </c>
    </row>
    <row r="24" spans="1:23" x14ac:dyDescent="0.35">
      <c r="A24" t="s">
        <v>62</v>
      </c>
      <c r="B24" s="37">
        <f>(-$F$1/($F$1^B18))*(B27/B28)</f>
        <v>112.27973382945815</v>
      </c>
      <c r="C24" s="37">
        <f t="shared" ref="C24:V24" si="16">(-$F$1/($F$1^C18))*(C27/C28)</f>
        <v>112.27973382945815</v>
      </c>
      <c r="D24" s="37">
        <f t="shared" si="16"/>
        <v>112.27973382945815</v>
      </c>
      <c r="E24" s="37">
        <f t="shared" si="16"/>
        <v>112.27973382945815</v>
      </c>
      <c r="F24" s="37">
        <f t="shared" si="16"/>
        <v>112.27973382945815</v>
      </c>
      <c r="G24" s="37">
        <f t="shared" si="16"/>
        <v>112.27973382945815</v>
      </c>
      <c r="H24" s="37">
        <f t="shared" si="16"/>
        <v>112.27973382945815</v>
      </c>
      <c r="I24" s="37">
        <f t="shared" si="16"/>
        <v>112.27973382945815</v>
      </c>
      <c r="J24" s="37">
        <f t="shared" si="16"/>
        <v>112.27973382945815</v>
      </c>
      <c r="K24" s="37">
        <f t="shared" si="16"/>
        <v>112.27973382945815</v>
      </c>
      <c r="L24" s="37">
        <f t="shared" si="16"/>
        <v>112.27973382945815</v>
      </c>
      <c r="M24" s="37">
        <f t="shared" si="16"/>
        <v>112.27973382945815</v>
      </c>
      <c r="N24" s="37">
        <f t="shared" si="16"/>
        <v>112.27973382945815</v>
      </c>
      <c r="O24" s="37">
        <f t="shared" si="16"/>
        <v>112.27973382945815</v>
      </c>
      <c r="P24" s="37">
        <f t="shared" si="16"/>
        <v>112.27973382945815</v>
      </c>
      <c r="Q24" s="37">
        <f t="shared" si="16"/>
        <v>112.27973382945815</v>
      </c>
      <c r="R24" s="37">
        <f t="shared" si="16"/>
        <v>112.27973382945815</v>
      </c>
      <c r="S24" s="37">
        <f t="shared" si="16"/>
        <v>112.27973382945815</v>
      </c>
      <c r="T24" s="37">
        <f t="shared" si="16"/>
        <v>112.27973382945815</v>
      </c>
      <c r="U24" s="37">
        <f t="shared" si="16"/>
        <v>112.27973382945815</v>
      </c>
      <c r="V24" s="37">
        <f t="shared" si="16"/>
        <v>112.27973382945815</v>
      </c>
    </row>
    <row r="25" spans="1:23" x14ac:dyDescent="0.35">
      <c r="A25" t="s">
        <v>64</v>
      </c>
      <c r="B25" s="1">
        <f t="shared" ref="B25:V25" si="17">($W$1/($W$1^B18)-$F$1/($F$1^B18))*(B27/B28)</f>
        <v>-1725.800749261844</v>
      </c>
      <c r="C25" s="1">
        <f t="shared" si="17"/>
        <v>-1725.800749261844</v>
      </c>
      <c r="D25" s="1">
        <f t="shared" si="17"/>
        <v>-1725.800749261844</v>
      </c>
      <c r="E25" s="1">
        <f t="shared" si="17"/>
        <v>-1725.800749261844</v>
      </c>
      <c r="F25" s="1">
        <f t="shared" si="17"/>
        <v>-1725.800749261844</v>
      </c>
      <c r="G25" s="1">
        <f t="shared" si="17"/>
        <v>-1725.800749261844</v>
      </c>
      <c r="H25" s="1">
        <f t="shared" si="17"/>
        <v>-1725.800749261844</v>
      </c>
      <c r="I25" s="1">
        <f t="shared" si="17"/>
        <v>-1725.800749261844</v>
      </c>
      <c r="J25" s="1">
        <f t="shared" si="17"/>
        <v>-1725.800749261844</v>
      </c>
      <c r="K25" s="1">
        <f t="shared" si="17"/>
        <v>-1725.800749261844</v>
      </c>
      <c r="L25" s="1">
        <f t="shared" si="17"/>
        <v>-1725.800749261844</v>
      </c>
      <c r="M25" s="1">
        <f t="shared" si="17"/>
        <v>-1725.800749261844</v>
      </c>
      <c r="N25" s="1">
        <f t="shared" si="17"/>
        <v>-1725.800749261844</v>
      </c>
      <c r="O25" s="1">
        <f t="shared" si="17"/>
        <v>-1725.800749261844</v>
      </c>
      <c r="P25" s="1">
        <f t="shared" si="17"/>
        <v>-1725.800749261844</v>
      </c>
      <c r="Q25" s="1">
        <f t="shared" si="17"/>
        <v>-1725.800749261844</v>
      </c>
      <c r="R25" s="1">
        <f t="shared" si="17"/>
        <v>-1725.800749261844</v>
      </c>
      <c r="S25" s="1">
        <f t="shared" si="17"/>
        <v>-1725.800749261844</v>
      </c>
      <c r="T25" s="1">
        <f t="shared" si="17"/>
        <v>-1725.800749261844</v>
      </c>
      <c r="U25" s="1">
        <f t="shared" si="17"/>
        <v>-1725.800749261844</v>
      </c>
      <c r="V25" s="1">
        <f t="shared" si="17"/>
        <v>-1725.800749261844</v>
      </c>
    </row>
    <row r="26" spans="1:23" x14ac:dyDescent="0.35">
      <c r="A26" t="s">
        <v>65</v>
      </c>
      <c r="B26" s="3">
        <f>(B5*B18-B5-B6*B18)</f>
        <v>-3.9999999999999994E-2</v>
      </c>
      <c r="C26" s="3">
        <f t="shared" ref="C26:V26" si="18">(C5*C18-C5-C6*C18)</f>
        <v>-3.9999999999999994E-2</v>
      </c>
      <c r="D26" s="3">
        <f t="shared" si="18"/>
        <v>-3.9999999999999994E-2</v>
      </c>
      <c r="E26" s="3">
        <f t="shared" si="18"/>
        <v>-3.9999999999999994E-2</v>
      </c>
      <c r="F26" s="3">
        <f t="shared" si="18"/>
        <v>-3.9999999999999994E-2</v>
      </c>
      <c r="G26" s="3">
        <f t="shared" si="18"/>
        <v>-3.9999999999999994E-2</v>
      </c>
      <c r="H26" s="3">
        <f t="shared" si="18"/>
        <v>-3.9999999999999994E-2</v>
      </c>
      <c r="I26" s="3">
        <f t="shared" si="18"/>
        <v>-3.9999999999999994E-2</v>
      </c>
      <c r="J26" s="3">
        <f t="shared" si="18"/>
        <v>-3.9999999999999994E-2</v>
      </c>
      <c r="K26" s="3">
        <f t="shared" si="18"/>
        <v>-3.9999999999999994E-2</v>
      </c>
      <c r="L26" s="3">
        <f t="shared" si="18"/>
        <v>-3.9999999999999994E-2</v>
      </c>
      <c r="M26" s="3">
        <f t="shared" si="18"/>
        <v>-3.9999999999999994E-2</v>
      </c>
      <c r="N26" s="3">
        <f t="shared" si="18"/>
        <v>-3.9999999999999994E-2</v>
      </c>
      <c r="O26" s="3">
        <f t="shared" si="18"/>
        <v>-3.9999999999999994E-2</v>
      </c>
      <c r="P26" s="3">
        <f t="shared" si="18"/>
        <v>-3.9999999999999994E-2</v>
      </c>
      <c r="Q26" s="3">
        <f t="shared" si="18"/>
        <v>-3.9999999999999994E-2</v>
      </c>
      <c r="R26" s="3">
        <f t="shared" si="18"/>
        <v>-3.9999999999999994E-2</v>
      </c>
      <c r="S26" s="3">
        <f t="shared" si="18"/>
        <v>-3.9999999999999994E-2</v>
      </c>
      <c r="T26" s="3">
        <f t="shared" si="18"/>
        <v>-3.9999999999999994E-2</v>
      </c>
      <c r="U26" s="3">
        <f t="shared" si="18"/>
        <v>-3.9999999999999994E-2</v>
      </c>
      <c r="V26" s="3">
        <f t="shared" si="18"/>
        <v>-3.9999999999999994E-2</v>
      </c>
    </row>
    <row r="27" spans="1:23" x14ac:dyDescent="0.35">
      <c r="A27" t="s">
        <v>85</v>
      </c>
      <c r="B27" s="3">
        <f>(B5*B11-B5-B6*B11)</f>
        <v>-0.04</v>
      </c>
      <c r="C27" s="3">
        <f t="shared" ref="C27:V27" si="19">(C5*C11-C5-C6*C11)</f>
        <v>-0.04</v>
      </c>
      <c r="D27" s="3">
        <f t="shared" si="19"/>
        <v>-0.04</v>
      </c>
      <c r="E27" s="3">
        <f t="shared" si="19"/>
        <v>-0.04</v>
      </c>
      <c r="F27" s="3">
        <f t="shared" si="19"/>
        <v>-0.04</v>
      </c>
      <c r="G27" s="3">
        <f t="shared" si="19"/>
        <v>-0.04</v>
      </c>
      <c r="H27" s="3">
        <f t="shared" si="19"/>
        <v>-0.04</v>
      </c>
      <c r="I27" s="3">
        <f t="shared" si="19"/>
        <v>-0.04</v>
      </c>
      <c r="J27" s="3">
        <f t="shared" si="19"/>
        <v>-0.04</v>
      </c>
      <c r="K27" s="3">
        <f t="shared" si="19"/>
        <v>-0.04</v>
      </c>
      <c r="L27" s="3">
        <f t="shared" si="19"/>
        <v>-0.04</v>
      </c>
      <c r="M27" s="3">
        <f t="shared" si="19"/>
        <v>-0.04</v>
      </c>
      <c r="N27" s="3">
        <f t="shared" si="19"/>
        <v>-0.04</v>
      </c>
      <c r="O27" s="3">
        <f t="shared" si="19"/>
        <v>-0.04</v>
      </c>
      <c r="P27" s="3">
        <f t="shared" si="19"/>
        <v>-0.04</v>
      </c>
      <c r="Q27" s="3">
        <f t="shared" si="19"/>
        <v>-0.04</v>
      </c>
      <c r="R27" s="3">
        <f t="shared" si="19"/>
        <v>-0.04</v>
      </c>
      <c r="S27" s="3">
        <f t="shared" si="19"/>
        <v>-0.04</v>
      </c>
      <c r="T27" s="3">
        <f t="shared" si="19"/>
        <v>-0.04</v>
      </c>
      <c r="U27" s="3">
        <f t="shared" si="19"/>
        <v>-0.04</v>
      </c>
      <c r="V27" s="3">
        <f t="shared" si="19"/>
        <v>-0.04</v>
      </c>
    </row>
    <row r="28" spans="1:23" x14ac:dyDescent="0.35">
      <c r="A28" t="s">
        <v>69</v>
      </c>
      <c r="B28" s="3">
        <f>(B11-B18)*B5*B6</f>
        <v>3.9581814005929545E-3</v>
      </c>
      <c r="C28" s="3">
        <f t="shared" ref="C28:V28" si="20">(C11-C18)*C5*C6</f>
        <v>3.9581814005929545E-3</v>
      </c>
      <c r="D28" s="3">
        <f t="shared" si="20"/>
        <v>3.9581814005929545E-3</v>
      </c>
      <c r="E28" s="3">
        <f t="shared" si="20"/>
        <v>3.9581814005929545E-3</v>
      </c>
      <c r="F28" s="3">
        <f t="shared" si="20"/>
        <v>3.9581814005929545E-3</v>
      </c>
      <c r="G28" s="3">
        <f t="shared" si="20"/>
        <v>3.9581814005929545E-3</v>
      </c>
      <c r="H28" s="3">
        <f t="shared" si="20"/>
        <v>3.9581814005929545E-3</v>
      </c>
      <c r="I28" s="3">
        <f t="shared" si="20"/>
        <v>3.9581814005929545E-3</v>
      </c>
      <c r="J28" s="3">
        <f t="shared" si="20"/>
        <v>3.9581814005929545E-3</v>
      </c>
      <c r="K28" s="3">
        <f t="shared" si="20"/>
        <v>3.9581814005929545E-3</v>
      </c>
      <c r="L28" s="3">
        <f t="shared" si="20"/>
        <v>3.9581814005929545E-3</v>
      </c>
      <c r="M28" s="3">
        <f t="shared" si="20"/>
        <v>3.9581814005929545E-3</v>
      </c>
      <c r="N28" s="3">
        <f t="shared" si="20"/>
        <v>3.9581814005929545E-3</v>
      </c>
      <c r="O28" s="3">
        <f t="shared" si="20"/>
        <v>3.9581814005929545E-3</v>
      </c>
      <c r="P28" s="3">
        <f t="shared" si="20"/>
        <v>3.9581814005929545E-3</v>
      </c>
      <c r="Q28" s="3">
        <f t="shared" si="20"/>
        <v>3.9581814005929545E-3</v>
      </c>
      <c r="R28" s="3">
        <f t="shared" si="20"/>
        <v>3.9581814005929545E-3</v>
      </c>
      <c r="S28" s="3">
        <f t="shared" si="20"/>
        <v>3.9581814005929545E-3</v>
      </c>
      <c r="T28" s="3">
        <f t="shared" si="20"/>
        <v>3.9581814005929545E-3</v>
      </c>
      <c r="U28" s="3">
        <f t="shared" si="20"/>
        <v>3.9581814005929545E-3</v>
      </c>
      <c r="V28" s="3">
        <f t="shared" si="20"/>
        <v>3.9581814005929545E-3</v>
      </c>
    </row>
    <row r="29" spans="1:23" x14ac:dyDescent="0.35">
      <c r="A29" s="25" t="str">
        <f>A2</f>
        <v>P</v>
      </c>
      <c r="B29" s="25">
        <f t="shared" ref="B29:V29" si="21">B2</f>
        <v>0</v>
      </c>
      <c r="C29" s="25">
        <f t="shared" si="21"/>
        <v>1</v>
      </c>
      <c r="D29" s="25">
        <f t="shared" si="21"/>
        <v>2</v>
      </c>
      <c r="E29" s="25">
        <f t="shared" si="21"/>
        <v>3</v>
      </c>
      <c r="F29" s="25">
        <f t="shared" si="21"/>
        <v>4</v>
      </c>
      <c r="G29" s="25">
        <f t="shared" si="21"/>
        <v>5</v>
      </c>
      <c r="H29" s="25">
        <f t="shared" si="21"/>
        <v>6</v>
      </c>
      <c r="I29" s="25">
        <f t="shared" si="21"/>
        <v>7</v>
      </c>
      <c r="J29" s="25">
        <f t="shared" si="21"/>
        <v>8</v>
      </c>
      <c r="K29" s="25">
        <f t="shared" si="21"/>
        <v>9</v>
      </c>
      <c r="L29" s="25">
        <f t="shared" si="21"/>
        <v>10</v>
      </c>
      <c r="M29" s="25">
        <f t="shared" si="21"/>
        <v>11</v>
      </c>
      <c r="N29" s="25">
        <f t="shared" si="21"/>
        <v>12</v>
      </c>
      <c r="O29" s="25">
        <f t="shared" si="21"/>
        <v>13</v>
      </c>
      <c r="P29" s="25">
        <f t="shared" si="21"/>
        <v>14</v>
      </c>
      <c r="Q29" s="25">
        <f t="shared" si="21"/>
        <v>15</v>
      </c>
      <c r="R29" s="25">
        <f t="shared" si="21"/>
        <v>16</v>
      </c>
      <c r="S29" s="25">
        <f t="shared" si="21"/>
        <v>17</v>
      </c>
      <c r="T29" s="25">
        <f t="shared" si="21"/>
        <v>18</v>
      </c>
      <c r="U29" s="25">
        <f t="shared" si="21"/>
        <v>19</v>
      </c>
      <c r="V29" s="25">
        <f t="shared" si="21"/>
        <v>20</v>
      </c>
    </row>
    <row r="30" spans="1:23" x14ac:dyDescent="0.35">
      <c r="A30" s="8" t="str">
        <f>A8</f>
        <v>ROV CALL</v>
      </c>
      <c r="B30" s="30">
        <f t="shared" ref="B30:V30" si="22">B8</f>
        <v>0</v>
      </c>
      <c r="C30" s="30">
        <f t="shared" si="22"/>
        <v>2.7547336414741639</v>
      </c>
      <c r="D30" s="30">
        <f t="shared" si="22"/>
        <v>9.1822296666150898</v>
      </c>
      <c r="E30" s="30">
        <f t="shared" si="22"/>
        <v>18.56977488419637</v>
      </c>
      <c r="F30" s="30">
        <f t="shared" si="22"/>
        <v>30.606712889071549</v>
      </c>
      <c r="G30" s="30">
        <f t="shared" si="22"/>
        <v>45.096492214699531</v>
      </c>
      <c r="H30" s="30">
        <f t="shared" si="22"/>
        <v>61.897794863674804</v>
      </c>
      <c r="I30" s="30">
        <f t="shared" si="22"/>
        <v>80.901612457306967</v>
      </c>
      <c r="J30" s="30">
        <f t="shared" si="22"/>
        <v>102.01997857666161</v>
      </c>
      <c r="K30" s="30">
        <f t="shared" si="22"/>
        <v>125.17963045791781</v>
      </c>
      <c r="L30" s="30">
        <f t="shared" si="22"/>
        <v>150</v>
      </c>
      <c r="M30" s="30">
        <f t="shared" si="22"/>
        <v>175</v>
      </c>
      <c r="N30" s="30">
        <f t="shared" si="22"/>
        <v>200</v>
      </c>
      <c r="O30" s="30">
        <f t="shared" si="22"/>
        <v>225</v>
      </c>
      <c r="P30" s="30">
        <f t="shared" si="22"/>
        <v>250</v>
      </c>
      <c r="Q30" s="30">
        <f t="shared" si="22"/>
        <v>275</v>
      </c>
      <c r="R30" s="30">
        <f t="shared" si="22"/>
        <v>300</v>
      </c>
      <c r="S30" s="30">
        <f t="shared" si="22"/>
        <v>325</v>
      </c>
      <c r="T30" s="30">
        <f t="shared" si="22"/>
        <v>350</v>
      </c>
      <c r="U30" s="30">
        <f t="shared" si="22"/>
        <v>375</v>
      </c>
      <c r="V30" s="30">
        <f t="shared" si="22"/>
        <v>400</v>
      </c>
    </row>
    <row r="31" spans="1:23" x14ac:dyDescent="0.35">
      <c r="A31" t="str">
        <f>A14</f>
        <v>ROV COLLAR</v>
      </c>
      <c r="B31" s="1">
        <f t="shared" ref="B31:V31" si="23">B14</f>
        <v>0</v>
      </c>
      <c r="C31" s="1">
        <f t="shared" si="23"/>
        <v>2.5270006893962709</v>
      </c>
      <c r="D31" s="1">
        <f t="shared" si="23"/>
        <v>8.4231376668831537</v>
      </c>
      <c r="E31" s="1">
        <f t="shared" si="23"/>
        <v>17.03461751357781</v>
      </c>
      <c r="F31" s="1">
        <f t="shared" si="23"/>
        <v>28.076465690326494</v>
      </c>
      <c r="G31" s="1">
        <f t="shared" si="23"/>
        <v>41.102190233776788</v>
      </c>
      <c r="H31" s="1">
        <f t="shared" si="23"/>
        <v>55.013417813825626</v>
      </c>
      <c r="I31" s="1">
        <f t="shared" si="23"/>
        <v>69.128102911871167</v>
      </c>
      <c r="J31" s="1">
        <f t="shared" si="23"/>
        <v>83.10130477324266</v>
      </c>
      <c r="K31" s="1">
        <f t="shared" si="23"/>
        <v>96.742728059206001</v>
      </c>
      <c r="L31" s="1">
        <f t="shared" si="23"/>
        <v>109.94108256945248</v>
      </c>
      <c r="M31" s="1">
        <f t="shared" si="23"/>
        <v>122.62873282370953</v>
      </c>
      <c r="N31" s="1">
        <f t="shared" si="23"/>
        <v>134.76363943066625</v>
      </c>
      <c r="O31" s="1">
        <f t="shared" si="23"/>
        <v>146.31947723212213</v>
      </c>
      <c r="P31" s="1">
        <f t="shared" si="23"/>
        <v>157.27992397485264</v>
      </c>
      <c r="Q31" s="1">
        <f t="shared" si="23"/>
        <v>167.63520950189886</v>
      </c>
      <c r="R31" s="1">
        <f t="shared" si="23"/>
        <v>177.37995293603757</v>
      </c>
      <c r="S31" s="1">
        <f t="shared" si="23"/>
        <v>186.51176499571116</v>
      </c>
      <c r="T31" s="1">
        <f t="shared" si="23"/>
        <v>195.03032118493246</v>
      </c>
      <c r="U31" s="1">
        <f t="shared" si="23"/>
        <v>202.93673366735644</v>
      </c>
      <c r="V31" s="1">
        <f t="shared" si="23"/>
        <v>210.23311761878492</v>
      </c>
    </row>
    <row r="59" spans="5:22" x14ac:dyDescent="0.35">
      <c r="E59" t="s">
        <v>45</v>
      </c>
      <c r="F59" s="6">
        <v>4</v>
      </c>
      <c r="L59" t="s">
        <v>8</v>
      </c>
      <c r="U59" t="s">
        <v>46</v>
      </c>
      <c r="V59" s="6">
        <v>20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30" workbookViewId="0">
      <selection activeCell="M47" sqref="M47"/>
    </sheetView>
  </sheetViews>
  <sheetFormatPr defaultRowHeight="14.5" x14ac:dyDescent="0.35"/>
  <cols>
    <col min="1" max="1" width="12" bestFit="1" customWidth="1"/>
    <col min="2" max="2" width="8.54296875" customWidth="1"/>
    <col min="3" max="9" width="8.26953125" customWidth="1"/>
    <col min="10" max="12" width="8.54296875" customWidth="1"/>
  </cols>
  <sheetData>
    <row r="1" spans="1:13" x14ac:dyDescent="0.35">
      <c r="A1" s="2" t="s">
        <v>0</v>
      </c>
      <c r="B1" t="s">
        <v>9</v>
      </c>
      <c r="C1">
        <v>2</v>
      </c>
      <c r="E1" t="s">
        <v>155</v>
      </c>
      <c r="F1" s="6">
        <v>3</v>
      </c>
      <c r="L1" t="s">
        <v>156</v>
      </c>
      <c r="M1" s="6">
        <v>500</v>
      </c>
    </row>
    <row r="2" spans="1:13" x14ac:dyDescent="0.35">
      <c r="A2" s="16" t="s">
        <v>9</v>
      </c>
      <c r="B2" s="17">
        <v>6</v>
      </c>
      <c r="C2" s="17">
        <f>B2</f>
        <v>6</v>
      </c>
      <c r="D2" s="17">
        <f t="shared" ref="D2:L2" si="0">C2</f>
        <v>6</v>
      </c>
      <c r="E2" s="17">
        <f t="shared" si="0"/>
        <v>6</v>
      </c>
      <c r="F2" s="17">
        <f t="shared" si="0"/>
        <v>6</v>
      </c>
      <c r="G2" s="17">
        <f t="shared" si="0"/>
        <v>6</v>
      </c>
      <c r="H2" s="17">
        <f t="shared" si="0"/>
        <v>6</v>
      </c>
      <c r="I2" s="17">
        <f t="shared" si="0"/>
        <v>6</v>
      </c>
      <c r="J2" s="17">
        <f t="shared" si="0"/>
        <v>6</v>
      </c>
      <c r="K2" s="17">
        <f t="shared" si="0"/>
        <v>6</v>
      </c>
      <c r="L2" s="17">
        <f t="shared" si="0"/>
        <v>6</v>
      </c>
    </row>
    <row r="3" spans="1:13" x14ac:dyDescent="0.35">
      <c r="A3" s="16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100</v>
      </c>
      <c r="J3" s="17">
        <v>100</v>
      </c>
      <c r="K3" s="17">
        <v>100</v>
      </c>
      <c r="L3" s="17">
        <v>100</v>
      </c>
    </row>
    <row r="4" spans="1:13" x14ac:dyDescent="0.35">
      <c r="A4" s="10" t="s">
        <v>3</v>
      </c>
      <c r="B4" s="17">
        <v>0.01</v>
      </c>
      <c r="C4" s="17">
        <v>0.05</v>
      </c>
      <c r="D4" s="17">
        <f>C4+0.05</f>
        <v>0.1</v>
      </c>
      <c r="E4" s="17">
        <f t="shared" ref="E4:L4" si="1">D4+0.05</f>
        <v>0.15000000000000002</v>
      </c>
      <c r="F4" s="17">
        <f t="shared" si="1"/>
        <v>0.2</v>
      </c>
      <c r="G4" s="17">
        <f t="shared" si="1"/>
        <v>0.25</v>
      </c>
      <c r="H4" s="17">
        <f t="shared" si="1"/>
        <v>0.3</v>
      </c>
      <c r="I4" s="17">
        <f t="shared" si="1"/>
        <v>0.35</v>
      </c>
      <c r="J4" s="17">
        <f t="shared" si="1"/>
        <v>0.39999999999999997</v>
      </c>
      <c r="K4" s="17">
        <f t="shared" si="1"/>
        <v>0.44999999999999996</v>
      </c>
      <c r="L4" s="17">
        <f t="shared" si="1"/>
        <v>0.49999999999999994</v>
      </c>
    </row>
    <row r="5" spans="1:13" x14ac:dyDescent="0.35">
      <c r="A5" s="18" t="s">
        <v>4</v>
      </c>
      <c r="B5" s="17">
        <v>0.04</v>
      </c>
      <c r="C5" s="17">
        <v>0.04</v>
      </c>
      <c r="D5" s="17">
        <v>0.04</v>
      </c>
      <c r="E5" s="17">
        <v>0.04</v>
      </c>
      <c r="F5" s="17">
        <v>0.04</v>
      </c>
      <c r="G5" s="17">
        <v>0.04</v>
      </c>
      <c r="H5" s="17">
        <v>0.04</v>
      </c>
      <c r="I5" s="17">
        <v>0.04</v>
      </c>
      <c r="J5" s="17">
        <v>0.04</v>
      </c>
      <c r="K5" s="17">
        <v>0.04</v>
      </c>
      <c r="L5" s="17">
        <v>0.04</v>
      </c>
    </row>
    <row r="6" spans="1:13" x14ac:dyDescent="0.35">
      <c r="A6" s="10" t="s">
        <v>29</v>
      </c>
      <c r="B6" s="17">
        <v>0.04</v>
      </c>
      <c r="C6" s="17">
        <v>0.04</v>
      </c>
      <c r="D6" s="17">
        <v>0.04</v>
      </c>
      <c r="E6" s="17">
        <v>0.04</v>
      </c>
      <c r="F6" s="17">
        <v>0.04</v>
      </c>
      <c r="G6" s="17">
        <v>0.04</v>
      </c>
      <c r="H6" s="17">
        <v>0.04</v>
      </c>
      <c r="I6" s="17">
        <v>0.04</v>
      </c>
      <c r="J6" s="17">
        <v>0.04</v>
      </c>
      <c r="K6" s="17">
        <v>0.04</v>
      </c>
      <c r="L6" s="17">
        <v>0.04</v>
      </c>
    </row>
    <row r="7" spans="1:13" x14ac:dyDescent="0.35">
      <c r="A7" s="18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3" x14ac:dyDescent="0.35">
      <c r="A8" s="16" t="s">
        <v>30</v>
      </c>
      <c r="B8" s="24">
        <f>IF(B2&lt;B10,((B3/(B11-1))*(B2/B10)^B11),B9)</f>
        <v>50</v>
      </c>
      <c r="C8" s="24">
        <f t="shared" ref="C8:K8" si="2">IF(C2&lt;C10,((C3/(C11-1))*(C2/C10)^C11),C9)</f>
        <v>50</v>
      </c>
      <c r="D8" s="24">
        <f t="shared" si="2"/>
        <v>50</v>
      </c>
      <c r="E8" s="24">
        <f t="shared" si="2"/>
        <v>51.512166498492505</v>
      </c>
      <c r="F8" s="24">
        <f>IF(F2&lt;F10,((F3/(F11-1))*(F2/F10)^F11),F9)</f>
        <v>56.250000000000007</v>
      </c>
      <c r="G8" s="24">
        <f t="shared" si="2"/>
        <v>61.897794863674804</v>
      </c>
      <c r="H8" s="24">
        <f t="shared" si="2"/>
        <v>67.685206880039615</v>
      </c>
      <c r="I8" s="24">
        <f t="shared" si="2"/>
        <v>73.315586357012805</v>
      </c>
      <c r="J8" s="24">
        <f t="shared" si="2"/>
        <v>78.657298298551638</v>
      </c>
      <c r="K8" s="24">
        <f t="shared" si="2"/>
        <v>83.652609579043784</v>
      </c>
      <c r="L8" s="24">
        <f>IF(L2&lt;L10,((L3/(L11-1))*(L2/L10)^L11),L9)</f>
        <v>88.282158627870189</v>
      </c>
      <c r="M8">
        <v>7</v>
      </c>
    </row>
    <row r="9" spans="1:13" x14ac:dyDescent="0.35">
      <c r="A9" s="16" t="s">
        <v>48</v>
      </c>
      <c r="B9" s="24">
        <f>MAX(B2/B6-B3,0)</f>
        <v>50</v>
      </c>
      <c r="C9" s="24">
        <f t="shared" ref="C9:K9" si="3">MAX(C2/C6-C3,0)</f>
        <v>50</v>
      </c>
      <c r="D9" s="24">
        <f t="shared" si="3"/>
        <v>50</v>
      </c>
      <c r="E9" s="24">
        <f t="shared" si="3"/>
        <v>50</v>
      </c>
      <c r="F9" s="24">
        <f>MAX(F2/F6-F3,0)</f>
        <v>50</v>
      </c>
      <c r="G9" s="24">
        <f t="shared" si="3"/>
        <v>50</v>
      </c>
      <c r="H9" s="24">
        <f t="shared" si="3"/>
        <v>50</v>
      </c>
      <c r="I9" s="24">
        <f t="shared" si="3"/>
        <v>50</v>
      </c>
      <c r="J9" s="24">
        <f t="shared" si="3"/>
        <v>50</v>
      </c>
      <c r="K9" s="24">
        <f t="shared" si="3"/>
        <v>50</v>
      </c>
      <c r="L9" s="24">
        <f>MAX(L2/L6-L3,0)</f>
        <v>50</v>
      </c>
    </row>
    <row r="10" spans="1:13" x14ac:dyDescent="0.35">
      <c r="A10" s="16" t="s">
        <v>11</v>
      </c>
      <c r="B10" s="24">
        <f>(B11/(B11-1))*B3*B6</f>
        <v>4.1439434515981564</v>
      </c>
      <c r="C10" s="24">
        <f t="shared" ref="C10:L10" si="4">(C11/(C11-1))*C3*C6</f>
        <v>4.7723635432250342</v>
      </c>
      <c r="D10" s="24">
        <f t="shared" si="4"/>
        <v>5.6861406616345072</v>
      </c>
      <c r="E10" s="24">
        <f t="shared" si="4"/>
        <v>6.7571312332599307</v>
      </c>
      <c r="F10" s="24">
        <f t="shared" si="4"/>
        <v>8.0000000000000018</v>
      </c>
      <c r="G10" s="24">
        <f t="shared" si="4"/>
        <v>9.4279115240165563</v>
      </c>
      <c r="H10" s="24">
        <f t="shared" si="4"/>
        <v>11.052343178074636</v>
      </c>
      <c r="I10" s="24">
        <f t="shared" si="4"/>
        <v>12.883058929346904</v>
      </c>
      <c r="J10" s="24">
        <f t="shared" si="4"/>
        <v>14.928203230275503</v>
      </c>
      <c r="K10" s="24">
        <f t="shared" si="4"/>
        <v>17.194468165825533</v>
      </c>
      <c r="L10" s="24">
        <f t="shared" si="4"/>
        <v>19.687293044088435</v>
      </c>
    </row>
    <row r="11" spans="1:13" ht="15.5" x14ac:dyDescent="0.4">
      <c r="A11" s="10" t="s">
        <v>7</v>
      </c>
      <c r="B11" s="24">
        <f>0.5-(B5-B6)/(B4^2)+SQRT(((B5-B6)/(B4^2)-0.5)^2 + 2*B5/(B4^2))</f>
        <v>28.788690319631272</v>
      </c>
      <c r="C11" s="24">
        <f t="shared" ref="C11:L11" si="5">0.5-(C5-C6)/(C4^2)+SQRT(((C5-C6)/(C4^2)-0.5)^2 + 2*C5/(C4^2))</f>
        <v>6.1789083458002727</v>
      </c>
      <c r="D11" s="24">
        <f t="shared" si="5"/>
        <v>3.3722813232690139</v>
      </c>
      <c r="E11" s="24">
        <f t="shared" si="5"/>
        <v>2.4507833184532704</v>
      </c>
      <c r="F11" s="24">
        <f t="shared" si="5"/>
        <v>1.9999999999999998</v>
      </c>
      <c r="G11" s="24">
        <f t="shared" si="5"/>
        <v>1.7369316876852983</v>
      </c>
      <c r="H11" s="24">
        <f t="shared" si="5"/>
        <v>1.5671873729054748</v>
      </c>
      <c r="I11" s="24">
        <f t="shared" si="5"/>
        <v>1.4502953354035766</v>
      </c>
      <c r="J11" s="24">
        <f t="shared" si="5"/>
        <v>1.3660254037844388</v>
      </c>
      <c r="K11" s="24">
        <f t="shared" si="5"/>
        <v>1.3031573497111646</v>
      </c>
      <c r="L11" s="24">
        <f t="shared" si="5"/>
        <v>1.254983443527075</v>
      </c>
    </row>
    <row r="12" spans="1:13" x14ac:dyDescent="0.35">
      <c r="A12" s="25" t="s">
        <v>52</v>
      </c>
      <c r="B12" s="3">
        <f>(B3*(B10^-B11))/(B11-1)</f>
        <v>6.0477892271832049E-18</v>
      </c>
      <c r="C12" s="3">
        <f t="shared" ref="C12:L12" si="6">(C3*(C10^-C11))/(C11-1)</f>
        <v>1.2357470069154876E-3</v>
      </c>
      <c r="D12" s="3">
        <f t="shared" si="6"/>
        <v>0.12005396805285426</v>
      </c>
      <c r="E12" s="3">
        <f t="shared" si="6"/>
        <v>0.6380132706850753</v>
      </c>
      <c r="F12" s="3">
        <f t="shared" si="6"/>
        <v>1.5625000000000011</v>
      </c>
      <c r="G12" s="3">
        <f t="shared" si="6"/>
        <v>2.7547336414741652</v>
      </c>
      <c r="H12" s="3">
        <f t="shared" si="6"/>
        <v>4.0830523376584251</v>
      </c>
      <c r="I12" s="3">
        <f t="shared" si="6"/>
        <v>5.4531467304441055</v>
      </c>
      <c r="J12" s="3">
        <f t="shared" si="6"/>
        <v>6.8040053946905692</v>
      </c>
      <c r="K12" s="3">
        <f t="shared" si="6"/>
        <v>8.0988988023513624</v>
      </c>
      <c r="L12" s="3">
        <f t="shared" si="6"/>
        <v>9.3176417399539559</v>
      </c>
    </row>
    <row r="13" spans="1:13" x14ac:dyDescent="0.35">
      <c r="A13" s="25" t="s">
        <v>54</v>
      </c>
      <c r="B13" s="3">
        <f t="shared" ref="B13:L13" si="7">IF(B2&lt;$F$1,$F$1/B5+B22*(B2^B11),IF(B2&gt;$M$1,$M$1/B5+B25*(B2^B18),B2/B6+B23*(B2^B11)+B24*(B2^B18)))</f>
        <v>150.00000000571728</v>
      </c>
      <c r="C13" s="3">
        <f t="shared" si="7"/>
        <v>150.18228865805006</v>
      </c>
      <c r="D13" s="3">
        <f t="shared" si="7"/>
        <v>152.52087689396635</v>
      </c>
      <c r="E13" s="3">
        <f t="shared" si="7"/>
        <v>156.96939888567243</v>
      </c>
      <c r="F13" s="3">
        <f t="shared" si="7"/>
        <v>161.9</v>
      </c>
      <c r="G13" s="3">
        <f t="shared" si="7"/>
        <v>165.86141783827972</v>
      </c>
      <c r="H13" s="3">
        <f t="shared" si="7"/>
        <v>167.99699840174569</v>
      </c>
      <c r="I13" s="3">
        <f t="shared" si="7"/>
        <v>168.1102640212564</v>
      </c>
      <c r="J13" s="3">
        <f t="shared" si="7"/>
        <v>166.44037740820366</v>
      </c>
      <c r="K13" s="3">
        <f t="shared" si="7"/>
        <v>163.41023706255623</v>
      </c>
      <c r="L13" s="3">
        <f t="shared" si="7"/>
        <v>159.46098598719499</v>
      </c>
      <c r="M13">
        <v>10</v>
      </c>
    </row>
    <row r="14" spans="1:13" x14ac:dyDescent="0.35">
      <c r="A14" s="25" t="s">
        <v>74</v>
      </c>
      <c r="B14" s="3">
        <f>IF(B2&lt;B20,B21*(B2^B11),B2/B6-B3+B23*(B2^B11)+B24*(B2^B18))</f>
        <v>50.000000005717276</v>
      </c>
      <c r="C14" s="3">
        <f t="shared" ref="C14:L14" si="8">IF(C2&lt;C20,C21*(C2^C11),C2/C6-C3+C23*(C2^C11)+C24*(C2^C18))</f>
        <v>50.182288658050055</v>
      </c>
      <c r="D14" s="3">
        <f t="shared" si="8"/>
        <v>52.520876893966346</v>
      </c>
      <c r="E14" s="3">
        <f t="shared" si="8"/>
        <v>56.969400522409863</v>
      </c>
      <c r="F14" s="3">
        <f t="shared" si="8"/>
        <v>62.513030944089863</v>
      </c>
      <c r="G14" s="3">
        <f t="shared" si="8"/>
        <v>67.552725287176798</v>
      </c>
      <c r="H14" s="3">
        <f t="shared" si="8"/>
        <v>70.823988329947554</v>
      </c>
      <c r="I14" s="3">
        <f t="shared" si="8"/>
        <v>72.033846407453652</v>
      </c>
      <c r="J14" s="3">
        <f t="shared" si="8"/>
        <v>71.398840869184724</v>
      </c>
      <c r="K14" s="3">
        <f t="shared" si="8"/>
        <v>69.339241956771744</v>
      </c>
      <c r="L14" s="3">
        <f t="shared" si="8"/>
        <v>66.299048603545998</v>
      </c>
      <c r="M14">
        <v>20</v>
      </c>
    </row>
    <row r="15" spans="1:13" x14ac:dyDescent="0.35">
      <c r="A15" s="16" t="s">
        <v>32</v>
      </c>
      <c r="B15" s="24">
        <f t="shared" ref="B15:K15" si="9">IF(B2&gt;B17,(-B3/(B18-1))*(B2/B17)^B18,B16)</f>
        <v>1.6625312807217667E-5</v>
      </c>
      <c r="C15" s="24">
        <f t="shared" si="9"/>
        <v>0.79440611987390564</v>
      </c>
      <c r="D15" s="24">
        <f t="shared" si="9"/>
        <v>4.9198762405558707</v>
      </c>
      <c r="E15" s="24">
        <f t="shared" si="9"/>
        <v>10.589562902747835</v>
      </c>
      <c r="F15" s="24">
        <f>IF(F2&gt;F17,(-F3/(F18-1))*(F2/F17)^F18,F16)</f>
        <v>16.666666666666671</v>
      </c>
      <c r="G15" s="24">
        <f t="shared" si="9"/>
        <v>22.701233766175971</v>
      </c>
      <c r="H15" s="24">
        <f t="shared" si="9"/>
        <v>28.487151443897904</v>
      </c>
      <c r="I15" s="24">
        <f t="shared" si="9"/>
        <v>33.924925929756661</v>
      </c>
      <c r="J15" s="24">
        <f t="shared" si="9"/>
        <v>38.970862515027427</v>
      </c>
      <c r="K15" s="24">
        <f t="shared" si="9"/>
        <v>43.613557772021018</v>
      </c>
      <c r="L15" s="24">
        <f>IF(L2&gt;L17,(-L3/(L18-1))*(L2/L17)^L18,L16)</f>
        <v>47.860912391173827</v>
      </c>
    </row>
    <row r="16" spans="1:13" x14ac:dyDescent="0.35">
      <c r="A16" s="16" t="s">
        <v>84</v>
      </c>
      <c r="B16" s="3">
        <f>MAX(B3-B2/B6,0)</f>
        <v>0</v>
      </c>
      <c r="C16" s="3">
        <f t="shared" ref="C16:K16" si="10">MAX(C3-C2/C6,0)</f>
        <v>0</v>
      </c>
      <c r="D16" s="3">
        <f t="shared" si="10"/>
        <v>0</v>
      </c>
      <c r="E16" s="3">
        <f t="shared" si="10"/>
        <v>0</v>
      </c>
      <c r="F16" s="3">
        <f>MAX(F3-F2/F6,0)</f>
        <v>0</v>
      </c>
      <c r="G16" s="3">
        <f t="shared" si="10"/>
        <v>0</v>
      </c>
      <c r="H16" s="3">
        <f t="shared" si="10"/>
        <v>0</v>
      </c>
      <c r="I16" s="3">
        <f t="shared" si="10"/>
        <v>0</v>
      </c>
      <c r="J16" s="3">
        <f t="shared" si="10"/>
        <v>0</v>
      </c>
      <c r="K16" s="3">
        <f t="shared" si="10"/>
        <v>0</v>
      </c>
      <c r="L16" s="3">
        <f>MAX(L3-L2/L6,0)</f>
        <v>0</v>
      </c>
    </row>
    <row r="17" spans="1:14" x14ac:dyDescent="0.35">
      <c r="A17" s="16" t="s">
        <v>82</v>
      </c>
      <c r="B17" s="28">
        <f>(B18/(B18-1))*B3*B6</f>
        <v>3.8610565484018435</v>
      </c>
      <c r="C17" s="28">
        <f t="shared" ref="C17:L17" si="11">(C18/(C18-1))*C3*C6</f>
        <v>3.3526364567749658</v>
      </c>
      <c r="D17" s="28">
        <f t="shared" si="11"/>
        <v>2.8138593383654928</v>
      </c>
      <c r="E17" s="28">
        <f t="shared" si="11"/>
        <v>2.3678687667400702</v>
      </c>
      <c r="F17" s="28">
        <f t="shared" si="11"/>
        <v>1.9999999999999998</v>
      </c>
      <c r="G17" s="28">
        <f t="shared" si="11"/>
        <v>1.6970884759834435</v>
      </c>
      <c r="H17" s="28">
        <f t="shared" si="11"/>
        <v>1.4476568219253636</v>
      </c>
      <c r="I17" s="28">
        <f t="shared" si="11"/>
        <v>1.241941070653094</v>
      </c>
      <c r="J17" s="28">
        <f t="shared" si="11"/>
        <v>1.0717967697244908</v>
      </c>
      <c r="K17" s="28">
        <f t="shared" si="11"/>
        <v>0.93053183417445984</v>
      </c>
      <c r="L17" s="28">
        <f t="shared" si="11"/>
        <v>0.81270695591156317</v>
      </c>
    </row>
    <row r="18" spans="1:14" x14ac:dyDescent="0.35">
      <c r="A18" s="10" t="s">
        <v>12</v>
      </c>
      <c r="B18" s="24">
        <f>0.5-(B5-B6)/(B4^2)-SQRT(((B5-B6)/(B4^2)-0.5)^2 + 2*B5/(B4^2))</f>
        <v>-27.788690319631272</v>
      </c>
      <c r="C18" s="24">
        <f t="shared" ref="C18:L18" si="12">0.5-(C5-C6)/(C4^2)-SQRT(((C5-C6)/(C4^2)-0.5)^2 + 2*C5/(C4^2))</f>
        <v>-5.1789083458002727</v>
      </c>
      <c r="D18" s="24">
        <f t="shared" si="12"/>
        <v>-2.3722813232690139</v>
      </c>
      <c r="E18" s="24">
        <f t="shared" si="12"/>
        <v>-1.4507833184532706</v>
      </c>
      <c r="F18" s="24">
        <f t="shared" si="12"/>
        <v>-0.99999999999999978</v>
      </c>
      <c r="G18" s="24">
        <f t="shared" si="12"/>
        <v>-0.73693168768529826</v>
      </c>
      <c r="H18" s="24">
        <f t="shared" si="12"/>
        <v>-0.56718737290547483</v>
      </c>
      <c r="I18" s="24">
        <f t="shared" si="12"/>
        <v>-0.45029533540357647</v>
      </c>
      <c r="J18" s="24">
        <f t="shared" si="12"/>
        <v>-0.36602540378443871</v>
      </c>
      <c r="K18" s="24">
        <f t="shared" si="12"/>
        <v>-0.30315734971116448</v>
      </c>
      <c r="L18" s="24">
        <f t="shared" si="12"/>
        <v>-0.25498344352707503</v>
      </c>
    </row>
    <row r="19" spans="1:14" x14ac:dyDescent="0.35">
      <c r="A19" s="8" t="s">
        <v>76</v>
      </c>
      <c r="B19" s="24">
        <f>B20/B6-(B11/(B11-1))*B3+((B11-B18)/(B11-1))*B24*(B20^B18)</f>
        <v>-5.9594256612838237E-15</v>
      </c>
      <c r="C19" s="24">
        <f t="shared" ref="C19:L19" si="13">C20/C6-(C11/(C11-1))*C3+((C11-C18)/(C11-1))*C24*(C20^C18)</f>
        <v>-9.7699626167013776E-15</v>
      </c>
      <c r="D19" s="24">
        <f t="shared" si="13"/>
        <v>0</v>
      </c>
      <c r="E19" s="24">
        <f t="shared" si="13"/>
        <v>0</v>
      </c>
      <c r="F19" s="24">
        <f t="shared" si="13"/>
        <v>0</v>
      </c>
      <c r="G19" s="24">
        <f t="shared" si="13"/>
        <v>0</v>
      </c>
      <c r="H19" s="24">
        <f t="shared" si="13"/>
        <v>0</v>
      </c>
      <c r="I19" s="24">
        <f t="shared" si="13"/>
        <v>0</v>
      </c>
      <c r="J19" s="24">
        <f t="shared" si="13"/>
        <v>0</v>
      </c>
      <c r="K19" s="24">
        <f t="shared" si="13"/>
        <v>0</v>
      </c>
      <c r="L19" s="24">
        <f t="shared" si="13"/>
        <v>2.1981998088449473E-7</v>
      </c>
      <c r="M19" s="3">
        <f t="array" ref="M19">SUM(ABS(B19:L19))</f>
        <v>2.19819996613883E-7</v>
      </c>
      <c r="N19">
        <v>18</v>
      </c>
    </row>
    <row r="20" spans="1:14" x14ac:dyDescent="0.35">
      <c r="A20" s="8" t="s">
        <v>11</v>
      </c>
      <c r="B20" s="24">
        <v>4.1439298137380165</v>
      </c>
      <c r="C20" s="24">
        <v>4.7167588515734042</v>
      </c>
      <c r="D20" s="24">
        <v>5.368101290534594</v>
      </c>
      <c r="E20" s="24">
        <v>6.0008141367905132</v>
      </c>
      <c r="F20" s="24">
        <v>6.6457513110645907</v>
      </c>
      <c r="G20" s="24">
        <v>7.3177692836710477</v>
      </c>
      <c r="H20" s="24">
        <v>8.025351240826236</v>
      </c>
      <c r="I20" s="24">
        <v>8.7738870628281571</v>
      </c>
      <c r="J20" s="24">
        <v>9.5670402700416517</v>
      </c>
      <c r="K20" s="24">
        <v>10.407419910689224</v>
      </c>
      <c r="L20" s="24">
        <v>11.296952361582733</v>
      </c>
    </row>
    <row r="21" spans="1:14" x14ac:dyDescent="0.35">
      <c r="A21" t="s">
        <v>79</v>
      </c>
      <c r="B21" s="3">
        <f>(1/(B11-B18))*((1-B18)*(B20/B6)+B18*B3)*(B20^-B11)+B23</f>
        <v>6.0480706614162415E-18</v>
      </c>
      <c r="C21" s="3">
        <f t="shared" ref="C21:L21" si="14">(1/(C11-C18))*((1-C18)*(C20/C6)+C18*C3)*(C20^-C11)+C23</f>
        <v>1.2765203173935443E-3</v>
      </c>
      <c r="D21" s="3">
        <f t="shared" si="14"/>
        <v>0.12962906215420261</v>
      </c>
      <c r="E21" s="3">
        <f t="shared" si="14"/>
        <v>0.70560483138161967</v>
      </c>
      <c r="F21" s="3">
        <f t="shared" si="14"/>
        <v>1.7364730817802749</v>
      </c>
      <c r="G21" s="3">
        <f t="shared" si="14"/>
        <v>3.0064037875936784</v>
      </c>
      <c r="H21" s="3">
        <f t="shared" si="14"/>
        <v>4.2723966497643087</v>
      </c>
      <c r="I21" s="3">
        <f t="shared" si="14"/>
        <v>5.3578120770297195</v>
      </c>
      <c r="J21" s="3">
        <f t="shared" si="14"/>
        <v>6.1761350689250873</v>
      </c>
      <c r="K21" s="3">
        <f t="shared" si="14"/>
        <v>6.7131378980953142</v>
      </c>
      <c r="L21" s="3">
        <f t="shared" si="14"/>
        <v>6.9974589678034445</v>
      </c>
      <c r="M21">
        <v>19</v>
      </c>
    </row>
    <row r="22" spans="1:14" x14ac:dyDescent="0.35">
      <c r="A22" t="s">
        <v>59</v>
      </c>
      <c r="B22" s="3">
        <f t="shared" ref="B22:L22" si="15">($M$1/($M$1^B11)-$F$1/($F$1^B11))*(B26/B28)</f>
        <v>2.4362529571727644E-14</v>
      </c>
      <c r="C22" s="3">
        <f t="shared" si="15"/>
        <v>7.441798482000766E-3</v>
      </c>
      <c r="D22" s="3">
        <f t="shared" si="15"/>
        <v>0.32122909153252888</v>
      </c>
      <c r="E22" s="3">
        <f t="shared" si="15"/>
        <v>1.3008933989046283</v>
      </c>
      <c r="F22" s="3">
        <f t="shared" si="15"/>
        <v>2.7611111111111115</v>
      </c>
      <c r="G22" s="3">
        <f t="shared" si="15"/>
        <v>4.3937098606622245</v>
      </c>
      <c r="H22" s="3">
        <f t="shared" si="15"/>
        <v>5.9363156289706485</v>
      </c>
      <c r="I22" s="3">
        <f t="shared" si="15"/>
        <v>7.2194257161319015</v>
      </c>
      <c r="J22" s="3">
        <f t="shared" si="15"/>
        <v>8.1705624660215843</v>
      </c>
      <c r="K22" s="3">
        <f t="shared" si="15"/>
        <v>8.7895651102022043</v>
      </c>
      <c r="L22" s="3">
        <f t="shared" si="15"/>
        <v>9.117117260659338</v>
      </c>
    </row>
    <row r="23" spans="1:14" x14ac:dyDescent="0.35">
      <c r="A23" t="s">
        <v>60</v>
      </c>
      <c r="B23" s="3">
        <f t="shared" ref="B23:L23" si="16">($M$1/($M$1^B11))*(B26/B28)</f>
        <v>-4.4101721170377393E-76</v>
      </c>
      <c r="C23" s="3">
        <f t="shared" si="16"/>
        <v>-2.3170044772757612E-14</v>
      </c>
      <c r="D23" s="3">
        <f t="shared" si="16"/>
        <v>-1.7217373681403398E-6</v>
      </c>
      <c r="E23" s="3">
        <f t="shared" si="16"/>
        <v>-7.7818045818078309E-4</v>
      </c>
      <c r="F23" s="3">
        <f t="shared" si="16"/>
        <v>-1.6666666666666705E-2</v>
      </c>
      <c r="G23" s="3">
        <f t="shared" si="16"/>
        <v>-0.10365918197590133</v>
      </c>
      <c r="H23" s="3">
        <f t="shared" si="16"/>
        <v>-0.34502266764268491</v>
      </c>
      <c r="I23" s="3">
        <f t="shared" si="16"/>
        <v>-0.80115733302684167</v>
      </c>
      <c r="J23" s="3">
        <f t="shared" si="16"/>
        <v>-1.4841841716750246</v>
      </c>
      <c r="K23" s="3">
        <f t="shared" si="16"/>
        <v>-2.3653574581335315</v>
      </c>
      <c r="L23" s="3">
        <f t="shared" si="16"/>
        <v>-3.3945320969093751</v>
      </c>
    </row>
    <row r="24" spans="1:14" x14ac:dyDescent="0.35">
      <c r="A24" t="s">
        <v>62</v>
      </c>
      <c r="B24" s="32">
        <f>(-$F$1/($F$1^B18))*(B27/B28)</f>
        <v>24043252569864.297</v>
      </c>
      <c r="C24" s="32">
        <f t="shared" ref="C24:L24" si="17">(-$F$1/($F$1^C18))*(C27/C28)</f>
        <v>1953.1412676707157</v>
      </c>
      <c r="D24" s="32">
        <f t="shared" si="17"/>
        <v>176.87649961040128</v>
      </c>
      <c r="E24" s="32">
        <f t="shared" si="17"/>
        <v>94.62846422601335</v>
      </c>
      <c r="F24" s="7">
        <f t="shared" si="17"/>
        <v>74.999999999999986</v>
      </c>
      <c r="G24" s="3">
        <f t="shared" si="17"/>
        <v>68.122617048987308</v>
      </c>
      <c r="H24" s="3">
        <f t="shared" si="17"/>
        <v>65.52510729689088</v>
      </c>
      <c r="I24" s="3">
        <f t="shared" si="17"/>
        <v>64.716965515943755</v>
      </c>
      <c r="J24" s="3">
        <f t="shared" si="17"/>
        <v>64.734997556508603</v>
      </c>
      <c r="K24" s="3">
        <f t="shared" si="17"/>
        <v>65.143853459911682</v>
      </c>
      <c r="L24" s="3">
        <f t="shared" si="17"/>
        <v>65.728218362765531</v>
      </c>
    </row>
    <row r="25" spans="1:14" x14ac:dyDescent="0.35">
      <c r="A25" t="s">
        <v>64</v>
      </c>
      <c r="B25" s="33">
        <f t="shared" ref="B25:L25" si="18">($M$1/($M$1^B18)-$F$1/($F$1^B18))*(B27/B28)</f>
        <v>-2.2136492491638468E+77</v>
      </c>
      <c r="C25" s="33">
        <f t="shared" si="18"/>
        <v>-1.0455226323098232E+17</v>
      </c>
      <c r="D25" s="33">
        <f t="shared" si="18"/>
        <v>-5500081975.5630808</v>
      </c>
      <c r="E25" s="33">
        <f t="shared" si="18"/>
        <v>-26380929.033174403</v>
      </c>
      <c r="F25" s="34">
        <f t="shared" si="18"/>
        <v>-2083258.3333333293</v>
      </c>
      <c r="G25" s="12">
        <f t="shared" si="18"/>
        <v>-492527.81080579857</v>
      </c>
      <c r="H25" s="12">
        <f t="shared" si="18"/>
        <v>-198754.92180505284</v>
      </c>
      <c r="I25" s="12">
        <f t="shared" si="18"/>
        <v>-107918.19209453231</v>
      </c>
      <c r="J25" s="12">
        <f t="shared" si="18"/>
        <v>-70119.726374987236</v>
      </c>
      <c r="K25" s="12">
        <f t="shared" si="18"/>
        <v>-51137.451244769116</v>
      </c>
      <c r="L25" s="12">
        <f t="shared" si="18"/>
        <v>-40311.384030351124</v>
      </c>
    </row>
    <row r="26" spans="1:14" x14ac:dyDescent="0.35">
      <c r="A26" t="s">
        <v>65</v>
      </c>
      <c r="B26" s="3">
        <f>(B5*B18-B5-B6*B18)</f>
        <v>-4.0000000000000036E-2</v>
      </c>
      <c r="C26" s="3">
        <f t="shared" ref="C26:L26" si="19">(C5*C18-C5-C6*C18)</f>
        <v>-4.0000000000000008E-2</v>
      </c>
      <c r="D26" s="3">
        <f t="shared" si="19"/>
        <v>-4.0000000000000008E-2</v>
      </c>
      <c r="E26" s="3">
        <f t="shared" si="19"/>
        <v>-4.0000000000000008E-2</v>
      </c>
      <c r="F26" s="3">
        <f t="shared" si="19"/>
        <v>-3.9999999999999994E-2</v>
      </c>
      <c r="G26" s="3">
        <f t="shared" si="19"/>
        <v>-3.9999999999999994E-2</v>
      </c>
      <c r="H26" s="3">
        <f t="shared" si="19"/>
        <v>-4.0000000000000008E-2</v>
      </c>
      <c r="I26" s="3">
        <f t="shared" si="19"/>
        <v>-0.04</v>
      </c>
      <c r="J26" s="3">
        <f t="shared" si="19"/>
        <v>-0.04</v>
      </c>
      <c r="K26" s="3">
        <f t="shared" si="19"/>
        <v>-0.04</v>
      </c>
      <c r="L26" s="3">
        <f t="shared" si="19"/>
        <v>-0.04</v>
      </c>
    </row>
    <row r="27" spans="1:14" x14ac:dyDescent="0.35">
      <c r="A27" t="s">
        <v>85</v>
      </c>
      <c r="B27" s="3">
        <f>(B5*B11-B5-B6*B11)</f>
        <v>-4.0000000000000036E-2</v>
      </c>
      <c r="C27" s="3">
        <f t="shared" ref="C27:L27" si="20">(C5*C11-C5-C6*C11)</f>
        <v>-4.0000000000000008E-2</v>
      </c>
      <c r="D27" s="3">
        <f t="shared" si="20"/>
        <v>-4.0000000000000008E-2</v>
      </c>
      <c r="E27" s="3">
        <f t="shared" si="20"/>
        <v>-0.04</v>
      </c>
      <c r="F27" s="3">
        <f t="shared" si="20"/>
        <v>-0.04</v>
      </c>
      <c r="G27" s="3">
        <f t="shared" si="20"/>
        <v>-0.04</v>
      </c>
      <c r="H27" s="3">
        <f t="shared" si="20"/>
        <v>-0.04</v>
      </c>
      <c r="I27" s="3">
        <f t="shared" si="20"/>
        <v>-0.04</v>
      </c>
      <c r="J27" s="3">
        <f t="shared" si="20"/>
        <v>-0.04</v>
      </c>
      <c r="K27" s="3">
        <f t="shared" si="20"/>
        <v>-0.04</v>
      </c>
      <c r="L27" s="3">
        <f t="shared" si="20"/>
        <v>-0.04</v>
      </c>
    </row>
    <row r="28" spans="1:14" x14ac:dyDescent="0.35">
      <c r="A28" t="s">
        <v>69</v>
      </c>
      <c r="B28" s="3">
        <f>(B11-B18)*B5*B6</f>
        <v>9.0523809022820076E-2</v>
      </c>
      <c r="C28" s="3">
        <f t="shared" ref="C28:L28" si="21">(C11-C18)*C5*C6</f>
        <v>1.8172506706560874E-2</v>
      </c>
      <c r="D28" s="3">
        <f t="shared" si="21"/>
        <v>9.1913002344608443E-3</v>
      </c>
      <c r="E28" s="3">
        <f t="shared" si="21"/>
        <v>6.2425066190504655E-3</v>
      </c>
      <c r="F28" s="3">
        <f t="shared" si="21"/>
        <v>4.7999999999999996E-3</v>
      </c>
      <c r="G28" s="3">
        <f t="shared" si="21"/>
        <v>3.9581814005929545E-3</v>
      </c>
      <c r="H28" s="3">
        <f t="shared" si="21"/>
        <v>3.4149995932975198E-3</v>
      </c>
      <c r="I28" s="3">
        <f t="shared" si="21"/>
        <v>3.0409450732914452E-3</v>
      </c>
      <c r="J28" s="3">
        <f t="shared" si="21"/>
        <v>2.7712812921102041E-3</v>
      </c>
      <c r="K28" s="3">
        <f t="shared" si="21"/>
        <v>2.5701035190757266E-3</v>
      </c>
      <c r="L28" s="3">
        <f t="shared" si="21"/>
        <v>2.4159470192866399E-3</v>
      </c>
    </row>
    <row r="29" spans="1:14" x14ac:dyDescent="0.35">
      <c r="A29" s="10" t="s">
        <v>3</v>
      </c>
      <c r="B29" s="31">
        <f>B4</f>
        <v>0.01</v>
      </c>
      <c r="C29" s="31">
        <f t="shared" ref="C29:L29" si="22">C4</f>
        <v>0.05</v>
      </c>
      <c r="D29" s="31">
        <f t="shared" si="22"/>
        <v>0.1</v>
      </c>
      <c r="E29" s="31">
        <f t="shared" si="22"/>
        <v>0.15000000000000002</v>
      </c>
      <c r="F29" s="31">
        <f t="shared" si="22"/>
        <v>0.2</v>
      </c>
      <c r="G29" s="31">
        <f t="shared" si="22"/>
        <v>0.25</v>
      </c>
      <c r="H29" s="31">
        <f t="shared" si="22"/>
        <v>0.3</v>
      </c>
      <c r="I29" s="31">
        <f t="shared" si="22"/>
        <v>0.35</v>
      </c>
      <c r="J29" s="31">
        <f t="shared" si="22"/>
        <v>0.39999999999999997</v>
      </c>
      <c r="K29" s="31">
        <f t="shared" si="22"/>
        <v>0.44999999999999996</v>
      </c>
      <c r="L29" s="31">
        <f t="shared" si="22"/>
        <v>0.49999999999999994</v>
      </c>
    </row>
    <row r="30" spans="1:14" x14ac:dyDescent="0.35">
      <c r="A30" s="8" t="str">
        <f>A8</f>
        <v>ROV CALL</v>
      </c>
      <c r="B30" s="30">
        <f t="shared" ref="B30:L30" si="23">B8</f>
        <v>50</v>
      </c>
      <c r="C30" s="30">
        <f t="shared" si="23"/>
        <v>50</v>
      </c>
      <c r="D30" s="30">
        <f t="shared" si="23"/>
        <v>50</v>
      </c>
      <c r="E30" s="30">
        <f t="shared" si="23"/>
        <v>51.512166498492505</v>
      </c>
      <c r="F30" s="30">
        <f t="shared" si="23"/>
        <v>56.250000000000007</v>
      </c>
      <c r="G30" s="30">
        <f t="shared" si="23"/>
        <v>61.897794863674804</v>
      </c>
      <c r="H30" s="30">
        <f t="shared" si="23"/>
        <v>67.685206880039615</v>
      </c>
      <c r="I30" s="30">
        <f t="shared" si="23"/>
        <v>73.315586357012805</v>
      </c>
      <c r="J30" s="30">
        <f t="shared" si="23"/>
        <v>78.657298298551638</v>
      </c>
      <c r="K30" s="30">
        <f t="shared" si="23"/>
        <v>83.652609579043784</v>
      </c>
      <c r="L30" s="30">
        <f t="shared" si="23"/>
        <v>88.282158627870189</v>
      </c>
    </row>
    <row r="31" spans="1:14" x14ac:dyDescent="0.35">
      <c r="A31" t="str">
        <f>A14</f>
        <v>ROV COLLAR</v>
      </c>
      <c r="B31" s="1">
        <f t="shared" ref="B31:L31" si="24">B14</f>
        <v>50.000000005717276</v>
      </c>
      <c r="C31" s="1">
        <f t="shared" si="24"/>
        <v>50.182288658050055</v>
      </c>
      <c r="D31" s="1">
        <f t="shared" si="24"/>
        <v>52.520876893966346</v>
      </c>
      <c r="E31" s="1">
        <f t="shared" si="24"/>
        <v>56.969400522409863</v>
      </c>
      <c r="F31" s="1">
        <f t="shared" si="24"/>
        <v>62.513030944089863</v>
      </c>
      <c r="G31" s="1">
        <f t="shared" si="24"/>
        <v>67.552725287176798</v>
      </c>
      <c r="H31" s="1">
        <f t="shared" si="24"/>
        <v>70.823988329947554</v>
      </c>
      <c r="I31" s="1">
        <f t="shared" si="24"/>
        <v>72.033846407453652</v>
      </c>
      <c r="J31" s="1">
        <f t="shared" si="24"/>
        <v>71.398840869184724</v>
      </c>
      <c r="K31" s="1">
        <f t="shared" si="24"/>
        <v>69.339241956771744</v>
      </c>
      <c r="L31" s="1">
        <f t="shared" si="24"/>
        <v>66.299048603545998</v>
      </c>
    </row>
    <row r="32" spans="1:14" x14ac:dyDescent="0.35">
      <c r="A32" s="8" t="s">
        <v>180</v>
      </c>
      <c r="B32" s="3">
        <f>B20</f>
        <v>4.1439298137380165</v>
      </c>
      <c r="C32" s="3">
        <f t="shared" ref="C32:L32" si="25">C20</f>
        <v>4.7167588515734042</v>
      </c>
      <c r="D32" s="3">
        <f t="shared" si="25"/>
        <v>5.368101290534594</v>
      </c>
      <c r="E32" s="3">
        <f t="shared" si="25"/>
        <v>6.0008141367905132</v>
      </c>
      <c r="F32" s="3">
        <f t="shared" si="25"/>
        <v>6.6457513110645907</v>
      </c>
      <c r="G32" s="3">
        <f t="shared" si="25"/>
        <v>7.3177692836710477</v>
      </c>
      <c r="H32" s="3">
        <f t="shared" si="25"/>
        <v>8.025351240826236</v>
      </c>
      <c r="I32" s="3">
        <f t="shared" si="25"/>
        <v>8.7738870628281571</v>
      </c>
      <c r="J32" s="3">
        <f t="shared" si="25"/>
        <v>9.5670402700416517</v>
      </c>
      <c r="K32" s="3">
        <f t="shared" si="25"/>
        <v>10.407419910689224</v>
      </c>
      <c r="L32" s="3">
        <f t="shared" si="25"/>
        <v>11.296952361582733</v>
      </c>
    </row>
    <row r="33" spans="1:12" x14ac:dyDescent="0.35">
      <c r="A33" s="16" t="s">
        <v>10</v>
      </c>
      <c r="B33" s="24">
        <f>B10</f>
        <v>4.1439434515981564</v>
      </c>
      <c r="C33" s="24">
        <f t="shared" ref="C33:L33" si="26">C10</f>
        <v>4.7723635432250342</v>
      </c>
      <c r="D33" s="24">
        <f t="shared" si="26"/>
        <v>5.6861406616345072</v>
      </c>
      <c r="E33" s="24">
        <f t="shared" si="26"/>
        <v>6.7571312332599307</v>
      </c>
      <c r="F33" s="24">
        <f t="shared" si="26"/>
        <v>8.0000000000000018</v>
      </c>
      <c r="G33" s="24">
        <f t="shared" si="26"/>
        <v>9.4279115240165563</v>
      </c>
      <c r="H33" s="24">
        <f t="shared" si="26"/>
        <v>11.052343178074636</v>
      </c>
      <c r="I33" s="24">
        <f t="shared" si="26"/>
        <v>12.883058929346904</v>
      </c>
      <c r="J33" s="24">
        <f t="shared" si="26"/>
        <v>14.928203230275503</v>
      </c>
      <c r="K33" s="24">
        <f t="shared" si="26"/>
        <v>17.194468165825533</v>
      </c>
      <c r="L33" s="24">
        <f t="shared" si="26"/>
        <v>19.687293044088435</v>
      </c>
    </row>
    <row r="71" spans="1:12" x14ac:dyDescent="0.35">
      <c r="A71" t="s">
        <v>1</v>
      </c>
      <c r="B71">
        <v>2</v>
      </c>
      <c r="D71" t="s">
        <v>45</v>
      </c>
      <c r="E71" s="6">
        <v>3</v>
      </c>
      <c r="K71" t="s">
        <v>46</v>
      </c>
      <c r="L71" s="6">
        <v>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GUIDE</vt:lpstr>
      <vt:lpstr>STATIC COLLAR</vt:lpstr>
      <vt:lpstr>CALL PUT</vt:lpstr>
      <vt:lpstr>F1 ACTIVE Collar</vt:lpstr>
      <vt:lpstr>F2 ACTIVE Floor</vt:lpstr>
      <vt:lpstr>F3 ACTIVE Ceiling</vt:lpstr>
      <vt:lpstr>F4 InvestmentCollar</vt:lpstr>
      <vt:lpstr>Fig A2</vt:lpstr>
      <vt:lpstr>Fig A3</vt:lpstr>
      <vt:lpstr>Fig A4</vt:lpstr>
      <vt:lpstr>Fig 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Dean Paxson</cp:lastModifiedBy>
  <cp:lastPrinted>2017-02-09T10:30:43Z</cp:lastPrinted>
  <dcterms:created xsi:type="dcterms:W3CDTF">2012-02-26T16:41:40Z</dcterms:created>
  <dcterms:modified xsi:type="dcterms:W3CDTF">2017-02-21T12:34:01Z</dcterms:modified>
</cp:coreProperties>
</file>